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kovesdy\Downloads\"/>
    </mc:Choice>
  </mc:AlternateContent>
  <bookViews>
    <workbookView xWindow="0" yWindow="0" windowWidth="25200" windowHeight="11850"/>
  </bookViews>
  <sheets>
    <sheet name="Kiutazások" sheetId="1" r:id="rId1"/>
    <sheet name="Projekt költségvetése" sheetId="2" r:id="rId2"/>
    <sheet name="Segédlet" sheetId="4" state="hidden" r:id="rId3"/>
  </sheets>
  <definedNames>
    <definedName name="_xlnm._FilterDatabase" localSheetId="2" hidden="1">Segédlet!$C$2:$E$37</definedName>
    <definedName name="_xlnm.Print_Area" localSheetId="0">Kiutazások!$A$1:$U$106</definedName>
  </definedNames>
  <calcPr calcId="162913"/>
</workbook>
</file>

<file path=xl/calcChain.xml><?xml version="1.0" encoding="utf-8"?>
<calcChain xmlns="http://schemas.openxmlformats.org/spreadsheetml/2006/main">
  <c r="M26" i="2" l="1"/>
  <c r="A8" i="1" l="1"/>
  <c r="D8" i="1"/>
  <c r="G8" i="1"/>
  <c r="H8" i="1"/>
  <c r="I8" i="1"/>
  <c r="J8" i="1"/>
  <c r="L8" i="1"/>
  <c r="N8" i="1"/>
  <c r="O8" i="1"/>
  <c r="P8" i="1"/>
  <c r="Q8" i="1"/>
  <c r="R8" i="1"/>
  <c r="S8" i="1"/>
  <c r="T8" i="1"/>
  <c r="A9" i="1"/>
  <c r="D9" i="1"/>
  <c r="G9" i="1"/>
  <c r="H9" i="1"/>
  <c r="I9" i="1"/>
  <c r="J9" i="1"/>
  <c r="L9" i="1"/>
  <c r="N9" i="1"/>
  <c r="O9" i="1"/>
  <c r="P9" i="1"/>
  <c r="Q9" i="1"/>
  <c r="R9" i="1"/>
  <c r="S9" i="1"/>
  <c r="T9" i="1"/>
  <c r="A10" i="1"/>
  <c r="D10" i="1"/>
  <c r="G10" i="1"/>
  <c r="H10" i="1"/>
  <c r="I10" i="1"/>
  <c r="J10" i="1"/>
  <c r="L10" i="1"/>
  <c r="N10" i="1"/>
  <c r="O10" i="1"/>
  <c r="P10" i="1"/>
  <c r="Q10" i="1"/>
  <c r="R10" i="1"/>
  <c r="S10" i="1"/>
  <c r="T10" i="1"/>
  <c r="A11" i="1"/>
  <c r="D11" i="1"/>
  <c r="G11" i="1"/>
  <c r="H11" i="1"/>
  <c r="I11" i="1"/>
  <c r="J11" i="1"/>
  <c r="L11" i="1"/>
  <c r="N11" i="1"/>
  <c r="O11" i="1"/>
  <c r="P11" i="1"/>
  <c r="Q11" i="1"/>
  <c r="R11" i="1"/>
  <c r="S11" i="1"/>
  <c r="T11" i="1"/>
  <c r="A12" i="1"/>
  <c r="D12" i="1"/>
  <c r="G12" i="1"/>
  <c r="H12" i="1"/>
  <c r="I12" i="1"/>
  <c r="J12" i="1"/>
  <c r="L12" i="1"/>
  <c r="N12" i="1"/>
  <c r="O12" i="1"/>
  <c r="P12" i="1"/>
  <c r="Q12" i="1"/>
  <c r="R12" i="1"/>
  <c r="S12" i="1"/>
  <c r="T12" i="1"/>
  <c r="A13" i="1"/>
  <c r="D13" i="1"/>
  <c r="G13" i="1"/>
  <c r="H13" i="1"/>
  <c r="I13" i="1"/>
  <c r="J13" i="1"/>
  <c r="L13" i="1"/>
  <c r="N13" i="1"/>
  <c r="O13" i="1"/>
  <c r="P13" i="1"/>
  <c r="Q13" i="1"/>
  <c r="R13" i="1"/>
  <c r="S13" i="1"/>
  <c r="T13" i="1"/>
  <c r="A14" i="1"/>
  <c r="D14" i="1"/>
  <c r="G14" i="1"/>
  <c r="H14" i="1"/>
  <c r="I14" i="1"/>
  <c r="J14" i="1"/>
  <c r="L14" i="1"/>
  <c r="N14" i="1"/>
  <c r="O14" i="1"/>
  <c r="P14" i="1"/>
  <c r="Q14" i="1"/>
  <c r="R14" i="1"/>
  <c r="S14" i="1"/>
  <c r="T14" i="1"/>
  <c r="A15" i="1"/>
  <c r="D15" i="1"/>
  <c r="G15" i="1"/>
  <c r="H15" i="1"/>
  <c r="I15" i="1"/>
  <c r="J15" i="1"/>
  <c r="L15" i="1"/>
  <c r="N15" i="1"/>
  <c r="O15" i="1"/>
  <c r="P15" i="1"/>
  <c r="Q15" i="1"/>
  <c r="R15" i="1"/>
  <c r="S15" i="1"/>
  <c r="T15" i="1"/>
  <c r="A16" i="1"/>
  <c r="D16" i="1"/>
  <c r="G16" i="1"/>
  <c r="H16" i="1"/>
  <c r="I16" i="1"/>
  <c r="J16" i="1"/>
  <c r="L16" i="1"/>
  <c r="N16" i="1"/>
  <c r="O16" i="1"/>
  <c r="P16" i="1"/>
  <c r="Q16" i="1"/>
  <c r="R16" i="1"/>
  <c r="S16" i="1"/>
  <c r="T16" i="1"/>
  <c r="A17" i="1"/>
  <c r="D17" i="1"/>
  <c r="G17" i="1"/>
  <c r="H17" i="1"/>
  <c r="I17" i="1"/>
  <c r="J17" i="1"/>
  <c r="L17" i="1"/>
  <c r="N17" i="1"/>
  <c r="O17" i="1"/>
  <c r="P17" i="1"/>
  <c r="Q17" i="1"/>
  <c r="R17" i="1"/>
  <c r="S17" i="1"/>
  <c r="T17" i="1"/>
  <c r="A18" i="1"/>
  <c r="D18" i="1"/>
  <c r="G18" i="1"/>
  <c r="H18" i="1"/>
  <c r="I18" i="1"/>
  <c r="J18" i="1"/>
  <c r="L18" i="1"/>
  <c r="N18" i="1"/>
  <c r="O18" i="1"/>
  <c r="P18" i="1"/>
  <c r="Q18" i="1"/>
  <c r="R18" i="1"/>
  <c r="S18" i="1"/>
  <c r="T18" i="1"/>
  <c r="A19" i="1"/>
  <c r="D19" i="1"/>
  <c r="G19" i="1"/>
  <c r="H19" i="1"/>
  <c r="I19" i="1"/>
  <c r="J19" i="1"/>
  <c r="L19" i="1"/>
  <c r="N19" i="1"/>
  <c r="O19" i="1"/>
  <c r="P19" i="1"/>
  <c r="Q19" i="1"/>
  <c r="R19" i="1"/>
  <c r="S19" i="1"/>
  <c r="T19" i="1"/>
  <c r="A20" i="1"/>
  <c r="D20" i="1"/>
  <c r="G20" i="1"/>
  <c r="H20" i="1"/>
  <c r="I20" i="1"/>
  <c r="J20" i="1"/>
  <c r="L20" i="1"/>
  <c r="N20" i="1"/>
  <c r="O20" i="1"/>
  <c r="P20" i="1"/>
  <c r="Q20" i="1"/>
  <c r="R20" i="1"/>
  <c r="S20" i="1"/>
  <c r="T20" i="1"/>
  <c r="A21" i="1"/>
  <c r="D21" i="1"/>
  <c r="G21" i="1"/>
  <c r="H21" i="1"/>
  <c r="I21" i="1"/>
  <c r="J21" i="1"/>
  <c r="L21" i="1"/>
  <c r="N21" i="1"/>
  <c r="O21" i="1"/>
  <c r="P21" i="1"/>
  <c r="Q21" i="1"/>
  <c r="R21" i="1"/>
  <c r="S21" i="1"/>
  <c r="T21" i="1"/>
  <c r="A22" i="1"/>
  <c r="D22" i="1"/>
  <c r="G22" i="1"/>
  <c r="H22" i="1"/>
  <c r="I22" i="1"/>
  <c r="J22" i="1"/>
  <c r="L22" i="1"/>
  <c r="N22" i="1"/>
  <c r="O22" i="1"/>
  <c r="P22" i="1"/>
  <c r="Q22" i="1"/>
  <c r="R22" i="1"/>
  <c r="S22" i="1"/>
  <c r="T22" i="1"/>
  <c r="A23" i="1"/>
  <c r="D23" i="1"/>
  <c r="G23" i="1"/>
  <c r="H23" i="1"/>
  <c r="I23" i="1"/>
  <c r="J23" i="1"/>
  <c r="L23" i="1"/>
  <c r="N23" i="1"/>
  <c r="O23" i="1"/>
  <c r="P23" i="1"/>
  <c r="Q23" i="1"/>
  <c r="R23" i="1"/>
  <c r="S23" i="1"/>
  <c r="T23" i="1"/>
  <c r="A24" i="1"/>
  <c r="D24" i="1"/>
  <c r="G24" i="1"/>
  <c r="H24" i="1"/>
  <c r="I24" i="1"/>
  <c r="J24" i="1"/>
  <c r="L24" i="1"/>
  <c r="N24" i="1"/>
  <c r="O24" i="1"/>
  <c r="P24" i="1"/>
  <c r="Q24" i="1"/>
  <c r="R24" i="1"/>
  <c r="S24" i="1"/>
  <c r="T24" i="1"/>
  <c r="A25" i="1"/>
  <c r="D25" i="1"/>
  <c r="G25" i="1"/>
  <c r="H25" i="1"/>
  <c r="I25" i="1"/>
  <c r="J25" i="1"/>
  <c r="L25" i="1"/>
  <c r="N25" i="1"/>
  <c r="O25" i="1"/>
  <c r="P25" i="1"/>
  <c r="Q25" i="1"/>
  <c r="R25" i="1"/>
  <c r="S25" i="1"/>
  <c r="T25" i="1"/>
  <c r="A26" i="1"/>
  <c r="D26" i="1"/>
  <c r="G26" i="1"/>
  <c r="H26" i="1"/>
  <c r="I26" i="1"/>
  <c r="J26" i="1"/>
  <c r="L26" i="1"/>
  <c r="N26" i="1"/>
  <c r="O26" i="1"/>
  <c r="P26" i="1"/>
  <c r="Q26" i="1"/>
  <c r="R26" i="1"/>
  <c r="S26" i="1"/>
  <c r="T26" i="1"/>
  <c r="A27" i="1"/>
  <c r="D27" i="1"/>
  <c r="G27" i="1"/>
  <c r="H27" i="1"/>
  <c r="I27" i="1"/>
  <c r="J27" i="1"/>
  <c r="L27" i="1"/>
  <c r="N27" i="1"/>
  <c r="O27" i="1"/>
  <c r="P27" i="1"/>
  <c r="Q27" i="1"/>
  <c r="R27" i="1"/>
  <c r="S27" i="1"/>
  <c r="T27" i="1"/>
  <c r="A28" i="1"/>
  <c r="D28" i="1"/>
  <c r="G28" i="1"/>
  <c r="H28" i="1"/>
  <c r="I28" i="1"/>
  <c r="J28" i="1"/>
  <c r="L28" i="1"/>
  <c r="N28" i="1"/>
  <c r="O28" i="1"/>
  <c r="P28" i="1"/>
  <c r="Q28" i="1"/>
  <c r="R28" i="1"/>
  <c r="S28" i="1"/>
  <c r="T28" i="1"/>
  <c r="A29" i="1"/>
  <c r="D29" i="1"/>
  <c r="G29" i="1"/>
  <c r="H29" i="1"/>
  <c r="I29" i="1"/>
  <c r="J29" i="1"/>
  <c r="L29" i="1"/>
  <c r="N29" i="1"/>
  <c r="O29" i="1"/>
  <c r="P29" i="1"/>
  <c r="Q29" i="1"/>
  <c r="R29" i="1"/>
  <c r="S29" i="1"/>
  <c r="T29" i="1"/>
  <c r="A30" i="1"/>
  <c r="D30" i="1"/>
  <c r="G30" i="1"/>
  <c r="H30" i="1"/>
  <c r="I30" i="1"/>
  <c r="J30" i="1"/>
  <c r="L30" i="1"/>
  <c r="N30" i="1"/>
  <c r="O30" i="1"/>
  <c r="P30" i="1"/>
  <c r="Q30" i="1"/>
  <c r="R30" i="1"/>
  <c r="S30" i="1"/>
  <c r="T30" i="1"/>
  <c r="A31" i="1"/>
  <c r="D31" i="1"/>
  <c r="G31" i="1"/>
  <c r="H31" i="1"/>
  <c r="I31" i="1"/>
  <c r="J31" i="1"/>
  <c r="L31" i="1"/>
  <c r="N31" i="1"/>
  <c r="O31" i="1"/>
  <c r="P31" i="1"/>
  <c r="Q31" i="1"/>
  <c r="R31" i="1"/>
  <c r="S31" i="1"/>
  <c r="T31" i="1"/>
  <c r="A32" i="1"/>
  <c r="D32" i="1"/>
  <c r="G32" i="1"/>
  <c r="H32" i="1"/>
  <c r="I32" i="1"/>
  <c r="J32" i="1"/>
  <c r="L32" i="1"/>
  <c r="N32" i="1"/>
  <c r="O32" i="1"/>
  <c r="P32" i="1"/>
  <c r="Q32" i="1"/>
  <c r="R32" i="1"/>
  <c r="S32" i="1"/>
  <c r="T32" i="1"/>
  <c r="A33" i="1"/>
  <c r="D33" i="1"/>
  <c r="G33" i="1"/>
  <c r="H33" i="1"/>
  <c r="I33" i="1"/>
  <c r="J33" i="1"/>
  <c r="L33" i="1"/>
  <c r="N33" i="1"/>
  <c r="O33" i="1"/>
  <c r="P33" i="1"/>
  <c r="Q33" i="1"/>
  <c r="R33" i="1"/>
  <c r="S33" i="1"/>
  <c r="T33" i="1"/>
  <c r="A34" i="1"/>
  <c r="D34" i="1"/>
  <c r="G34" i="1"/>
  <c r="H34" i="1"/>
  <c r="I34" i="1"/>
  <c r="J34" i="1"/>
  <c r="L34" i="1"/>
  <c r="N34" i="1"/>
  <c r="O34" i="1"/>
  <c r="P34" i="1"/>
  <c r="Q34" i="1"/>
  <c r="R34" i="1"/>
  <c r="S34" i="1"/>
  <c r="T34" i="1"/>
  <c r="A35" i="1"/>
  <c r="D35" i="1"/>
  <c r="G35" i="1"/>
  <c r="H35" i="1"/>
  <c r="I35" i="1"/>
  <c r="J35" i="1"/>
  <c r="L35" i="1"/>
  <c r="N35" i="1"/>
  <c r="O35" i="1"/>
  <c r="P35" i="1"/>
  <c r="Q35" i="1"/>
  <c r="R35" i="1"/>
  <c r="S35" i="1"/>
  <c r="T35" i="1"/>
  <c r="A36" i="1"/>
  <c r="D36" i="1"/>
  <c r="G36" i="1"/>
  <c r="H36" i="1"/>
  <c r="I36" i="1"/>
  <c r="J36" i="1"/>
  <c r="L36" i="1"/>
  <c r="N36" i="1"/>
  <c r="O36" i="1"/>
  <c r="P36" i="1"/>
  <c r="Q36" i="1"/>
  <c r="R36" i="1"/>
  <c r="S36" i="1"/>
  <c r="T36" i="1"/>
  <c r="A37" i="1"/>
  <c r="D37" i="1"/>
  <c r="G37" i="1"/>
  <c r="H37" i="1"/>
  <c r="I37" i="1"/>
  <c r="J37" i="1"/>
  <c r="L37" i="1"/>
  <c r="N37" i="1"/>
  <c r="O37" i="1"/>
  <c r="P37" i="1"/>
  <c r="Q37" i="1"/>
  <c r="R37" i="1"/>
  <c r="S37" i="1"/>
  <c r="T37" i="1"/>
  <c r="A38" i="1"/>
  <c r="D38" i="1"/>
  <c r="G38" i="1"/>
  <c r="H38" i="1"/>
  <c r="I38" i="1"/>
  <c r="J38" i="1"/>
  <c r="L38" i="1"/>
  <c r="N38" i="1"/>
  <c r="O38" i="1"/>
  <c r="P38" i="1"/>
  <c r="Q38" i="1"/>
  <c r="R38" i="1"/>
  <c r="S38" i="1"/>
  <c r="T38" i="1"/>
  <c r="A39" i="1"/>
  <c r="D39" i="1"/>
  <c r="G39" i="1"/>
  <c r="H39" i="1"/>
  <c r="I39" i="1"/>
  <c r="J39" i="1"/>
  <c r="L39" i="1"/>
  <c r="N39" i="1"/>
  <c r="O39" i="1"/>
  <c r="P39" i="1"/>
  <c r="Q39" i="1"/>
  <c r="R39" i="1"/>
  <c r="S39" i="1"/>
  <c r="T39" i="1"/>
  <c r="A40" i="1"/>
  <c r="D40" i="1"/>
  <c r="G40" i="1"/>
  <c r="H40" i="1"/>
  <c r="I40" i="1"/>
  <c r="J40" i="1"/>
  <c r="L40" i="1"/>
  <c r="N40" i="1"/>
  <c r="O40" i="1"/>
  <c r="P40" i="1"/>
  <c r="Q40" i="1"/>
  <c r="R40" i="1"/>
  <c r="S40" i="1"/>
  <c r="T40" i="1"/>
  <c r="A41" i="1"/>
  <c r="D41" i="1"/>
  <c r="G41" i="1"/>
  <c r="H41" i="1"/>
  <c r="I41" i="1"/>
  <c r="J41" i="1"/>
  <c r="L41" i="1"/>
  <c r="N41" i="1"/>
  <c r="O41" i="1"/>
  <c r="P41" i="1"/>
  <c r="Q41" i="1"/>
  <c r="R41" i="1"/>
  <c r="S41" i="1"/>
  <c r="T41" i="1"/>
  <c r="A42" i="1"/>
  <c r="D42" i="1"/>
  <c r="G42" i="1"/>
  <c r="H42" i="1"/>
  <c r="I42" i="1"/>
  <c r="J42" i="1"/>
  <c r="L42" i="1"/>
  <c r="N42" i="1"/>
  <c r="O42" i="1"/>
  <c r="P42" i="1"/>
  <c r="Q42" i="1"/>
  <c r="R42" i="1"/>
  <c r="S42" i="1"/>
  <c r="T42" i="1"/>
  <c r="A43" i="1"/>
  <c r="D43" i="1"/>
  <c r="G43" i="1"/>
  <c r="H43" i="1"/>
  <c r="I43" i="1"/>
  <c r="J43" i="1"/>
  <c r="L43" i="1"/>
  <c r="N43" i="1"/>
  <c r="O43" i="1"/>
  <c r="P43" i="1"/>
  <c r="Q43" i="1"/>
  <c r="R43" i="1"/>
  <c r="S43" i="1"/>
  <c r="T43" i="1"/>
  <c r="A44" i="1"/>
  <c r="D44" i="1"/>
  <c r="G44" i="1"/>
  <c r="H44" i="1"/>
  <c r="I44" i="1"/>
  <c r="J44" i="1"/>
  <c r="L44" i="1"/>
  <c r="N44" i="1"/>
  <c r="O44" i="1"/>
  <c r="P44" i="1"/>
  <c r="Q44" i="1"/>
  <c r="R44" i="1"/>
  <c r="S44" i="1"/>
  <c r="T44" i="1"/>
  <c r="A45" i="1"/>
  <c r="D45" i="1"/>
  <c r="G45" i="1"/>
  <c r="H45" i="1"/>
  <c r="I45" i="1"/>
  <c r="J45" i="1"/>
  <c r="L45" i="1"/>
  <c r="N45" i="1"/>
  <c r="O45" i="1"/>
  <c r="P45" i="1"/>
  <c r="Q45" i="1"/>
  <c r="R45" i="1"/>
  <c r="S45" i="1"/>
  <c r="T45" i="1"/>
  <c r="A46" i="1"/>
  <c r="D46" i="1"/>
  <c r="G46" i="1"/>
  <c r="H46" i="1"/>
  <c r="I46" i="1"/>
  <c r="J46" i="1"/>
  <c r="L46" i="1"/>
  <c r="N46" i="1"/>
  <c r="O46" i="1"/>
  <c r="P46" i="1"/>
  <c r="Q46" i="1"/>
  <c r="R46" i="1"/>
  <c r="S46" i="1"/>
  <c r="T46" i="1"/>
  <c r="A47" i="1"/>
  <c r="D47" i="1"/>
  <c r="G47" i="1"/>
  <c r="H47" i="1"/>
  <c r="I47" i="1"/>
  <c r="J47" i="1"/>
  <c r="L47" i="1"/>
  <c r="N47" i="1"/>
  <c r="O47" i="1"/>
  <c r="P47" i="1"/>
  <c r="Q47" i="1"/>
  <c r="R47" i="1"/>
  <c r="S47" i="1"/>
  <c r="T47" i="1"/>
  <c r="A48" i="1"/>
  <c r="D48" i="1"/>
  <c r="G48" i="1"/>
  <c r="H48" i="1"/>
  <c r="I48" i="1"/>
  <c r="J48" i="1"/>
  <c r="L48" i="1"/>
  <c r="N48" i="1"/>
  <c r="O48" i="1"/>
  <c r="P48" i="1"/>
  <c r="Q48" i="1"/>
  <c r="R48" i="1"/>
  <c r="S48" i="1"/>
  <c r="T48" i="1"/>
  <c r="A49" i="1"/>
  <c r="D49" i="1"/>
  <c r="G49" i="1"/>
  <c r="H49" i="1"/>
  <c r="I49" i="1"/>
  <c r="J49" i="1"/>
  <c r="L49" i="1"/>
  <c r="N49" i="1"/>
  <c r="O49" i="1"/>
  <c r="P49" i="1"/>
  <c r="Q49" i="1"/>
  <c r="R49" i="1"/>
  <c r="S49" i="1"/>
  <c r="T49" i="1"/>
  <c r="A50" i="1"/>
  <c r="D50" i="1"/>
  <c r="G50" i="1"/>
  <c r="H50" i="1"/>
  <c r="I50" i="1"/>
  <c r="J50" i="1"/>
  <c r="L50" i="1"/>
  <c r="N50" i="1"/>
  <c r="O50" i="1"/>
  <c r="P50" i="1"/>
  <c r="Q50" i="1"/>
  <c r="R50" i="1"/>
  <c r="S50" i="1"/>
  <c r="T50" i="1"/>
  <c r="A51" i="1"/>
  <c r="D51" i="1"/>
  <c r="G51" i="1"/>
  <c r="H51" i="1"/>
  <c r="I51" i="1"/>
  <c r="J51" i="1"/>
  <c r="L51" i="1"/>
  <c r="N51" i="1"/>
  <c r="O51" i="1"/>
  <c r="P51" i="1"/>
  <c r="Q51" i="1"/>
  <c r="R51" i="1"/>
  <c r="S51" i="1"/>
  <c r="T51" i="1"/>
  <c r="A52" i="1"/>
  <c r="D52" i="1"/>
  <c r="G52" i="1"/>
  <c r="H52" i="1"/>
  <c r="I52" i="1"/>
  <c r="J52" i="1"/>
  <c r="L52" i="1"/>
  <c r="N52" i="1"/>
  <c r="O52" i="1"/>
  <c r="P52" i="1"/>
  <c r="Q52" i="1"/>
  <c r="R52" i="1"/>
  <c r="S52" i="1"/>
  <c r="T52" i="1"/>
  <c r="A53" i="1"/>
  <c r="D53" i="1"/>
  <c r="G53" i="1"/>
  <c r="H53" i="1"/>
  <c r="I53" i="1"/>
  <c r="J53" i="1"/>
  <c r="L53" i="1"/>
  <c r="N53" i="1"/>
  <c r="O53" i="1"/>
  <c r="P53" i="1"/>
  <c r="Q53" i="1"/>
  <c r="R53" i="1"/>
  <c r="S53" i="1"/>
  <c r="T53" i="1"/>
  <c r="A54" i="1"/>
  <c r="D54" i="1"/>
  <c r="G54" i="1"/>
  <c r="H54" i="1"/>
  <c r="I54" i="1"/>
  <c r="J54" i="1"/>
  <c r="L54" i="1"/>
  <c r="N54" i="1"/>
  <c r="O54" i="1"/>
  <c r="P54" i="1"/>
  <c r="Q54" i="1"/>
  <c r="R54" i="1"/>
  <c r="S54" i="1"/>
  <c r="T54" i="1"/>
  <c r="A55" i="1"/>
  <c r="D55" i="1"/>
  <c r="G55" i="1"/>
  <c r="H55" i="1"/>
  <c r="I55" i="1"/>
  <c r="J55" i="1"/>
  <c r="L55" i="1"/>
  <c r="N55" i="1"/>
  <c r="O55" i="1"/>
  <c r="P55" i="1"/>
  <c r="Q55" i="1"/>
  <c r="R55" i="1"/>
  <c r="S55" i="1"/>
  <c r="T55" i="1"/>
  <c r="A56" i="1"/>
  <c r="D56" i="1"/>
  <c r="G56" i="1"/>
  <c r="H56" i="1"/>
  <c r="I56" i="1"/>
  <c r="J56" i="1"/>
  <c r="L56" i="1"/>
  <c r="N56" i="1"/>
  <c r="O56" i="1"/>
  <c r="P56" i="1"/>
  <c r="Q56" i="1"/>
  <c r="R56" i="1"/>
  <c r="S56" i="1"/>
  <c r="T56" i="1"/>
  <c r="A57" i="1"/>
  <c r="D57" i="1"/>
  <c r="G57" i="1"/>
  <c r="H57" i="1"/>
  <c r="I57" i="1"/>
  <c r="J57" i="1"/>
  <c r="L57" i="1"/>
  <c r="N57" i="1"/>
  <c r="O57" i="1"/>
  <c r="P57" i="1"/>
  <c r="Q57" i="1"/>
  <c r="R57" i="1"/>
  <c r="S57" i="1"/>
  <c r="T57" i="1"/>
  <c r="A58" i="1"/>
  <c r="D58" i="1"/>
  <c r="G58" i="1"/>
  <c r="H58" i="1"/>
  <c r="I58" i="1"/>
  <c r="J58" i="1"/>
  <c r="L58" i="1"/>
  <c r="N58" i="1"/>
  <c r="O58" i="1"/>
  <c r="P58" i="1"/>
  <c r="Q58" i="1"/>
  <c r="R58" i="1"/>
  <c r="S58" i="1"/>
  <c r="T58" i="1"/>
  <c r="A59" i="1"/>
  <c r="D59" i="1"/>
  <c r="G59" i="1"/>
  <c r="H59" i="1"/>
  <c r="I59" i="1"/>
  <c r="J59" i="1"/>
  <c r="L59" i="1"/>
  <c r="N59" i="1"/>
  <c r="O59" i="1"/>
  <c r="P59" i="1"/>
  <c r="Q59" i="1"/>
  <c r="R59" i="1"/>
  <c r="S59" i="1"/>
  <c r="T59" i="1"/>
  <c r="A60" i="1"/>
  <c r="D60" i="1"/>
  <c r="G60" i="1"/>
  <c r="H60" i="1"/>
  <c r="I60" i="1"/>
  <c r="J60" i="1"/>
  <c r="L60" i="1"/>
  <c r="N60" i="1"/>
  <c r="O60" i="1"/>
  <c r="P60" i="1"/>
  <c r="Q60" i="1"/>
  <c r="R60" i="1"/>
  <c r="S60" i="1"/>
  <c r="T60" i="1"/>
  <c r="A61" i="1"/>
  <c r="D61" i="1"/>
  <c r="G61" i="1"/>
  <c r="H61" i="1"/>
  <c r="I61" i="1"/>
  <c r="J61" i="1"/>
  <c r="L61" i="1"/>
  <c r="N61" i="1"/>
  <c r="O61" i="1"/>
  <c r="P61" i="1"/>
  <c r="Q61" i="1"/>
  <c r="R61" i="1"/>
  <c r="S61" i="1"/>
  <c r="T61" i="1"/>
  <c r="A62" i="1"/>
  <c r="D62" i="1"/>
  <c r="G62" i="1"/>
  <c r="H62" i="1"/>
  <c r="I62" i="1"/>
  <c r="J62" i="1"/>
  <c r="L62" i="1"/>
  <c r="N62" i="1"/>
  <c r="O62" i="1"/>
  <c r="P62" i="1"/>
  <c r="Q62" i="1"/>
  <c r="R62" i="1"/>
  <c r="S62" i="1"/>
  <c r="T62" i="1"/>
  <c r="A63" i="1"/>
  <c r="D63" i="1"/>
  <c r="G63" i="1"/>
  <c r="H63" i="1"/>
  <c r="I63" i="1"/>
  <c r="J63" i="1"/>
  <c r="L63" i="1"/>
  <c r="N63" i="1"/>
  <c r="O63" i="1"/>
  <c r="P63" i="1"/>
  <c r="Q63" i="1"/>
  <c r="R63" i="1"/>
  <c r="S63" i="1"/>
  <c r="T63" i="1"/>
  <c r="A64" i="1"/>
  <c r="D64" i="1"/>
  <c r="G64" i="1"/>
  <c r="H64" i="1"/>
  <c r="I64" i="1"/>
  <c r="J64" i="1"/>
  <c r="L64" i="1"/>
  <c r="N64" i="1"/>
  <c r="O64" i="1"/>
  <c r="P64" i="1"/>
  <c r="Q64" i="1"/>
  <c r="R64" i="1"/>
  <c r="S64" i="1"/>
  <c r="T64" i="1"/>
  <c r="A65" i="1"/>
  <c r="D65" i="1"/>
  <c r="G65" i="1"/>
  <c r="H65" i="1"/>
  <c r="I65" i="1"/>
  <c r="J65" i="1"/>
  <c r="L65" i="1"/>
  <c r="N65" i="1"/>
  <c r="O65" i="1"/>
  <c r="P65" i="1"/>
  <c r="Q65" i="1"/>
  <c r="R65" i="1"/>
  <c r="S65" i="1"/>
  <c r="T65" i="1"/>
  <c r="A66" i="1"/>
  <c r="D66" i="1"/>
  <c r="G66" i="1"/>
  <c r="H66" i="1"/>
  <c r="I66" i="1"/>
  <c r="J66" i="1"/>
  <c r="L66" i="1"/>
  <c r="N66" i="1"/>
  <c r="O66" i="1"/>
  <c r="P66" i="1"/>
  <c r="Q66" i="1"/>
  <c r="R66" i="1"/>
  <c r="S66" i="1"/>
  <c r="T66" i="1"/>
  <c r="A67" i="1"/>
  <c r="D67" i="1"/>
  <c r="G67" i="1"/>
  <c r="H67" i="1"/>
  <c r="I67" i="1"/>
  <c r="J67" i="1"/>
  <c r="L67" i="1"/>
  <c r="N67" i="1"/>
  <c r="O67" i="1"/>
  <c r="P67" i="1"/>
  <c r="Q67" i="1"/>
  <c r="R67" i="1"/>
  <c r="S67" i="1"/>
  <c r="T67" i="1"/>
  <c r="A68" i="1"/>
  <c r="D68" i="1"/>
  <c r="G68" i="1"/>
  <c r="H68" i="1"/>
  <c r="I68" i="1"/>
  <c r="J68" i="1"/>
  <c r="L68" i="1"/>
  <c r="N68" i="1"/>
  <c r="O68" i="1"/>
  <c r="P68" i="1"/>
  <c r="Q68" i="1"/>
  <c r="R68" i="1"/>
  <c r="S68" i="1"/>
  <c r="T68" i="1"/>
  <c r="A69" i="1"/>
  <c r="D69" i="1"/>
  <c r="G69" i="1"/>
  <c r="H69" i="1"/>
  <c r="I69" i="1"/>
  <c r="J69" i="1"/>
  <c r="L69" i="1"/>
  <c r="N69" i="1"/>
  <c r="O69" i="1"/>
  <c r="P69" i="1"/>
  <c r="Q69" i="1"/>
  <c r="R69" i="1"/>
  <c r="S69" i="1"/>
  <c r="T69" i="1"/>
  <c r="A70" i="1"/>
  <c r="D70" i="1"/>
  <c r="G70" i="1"/>
  <c r="H70" i="1"/>
  <c r="I70" i="1"/>
  <c r="J70" i="1"/>
  <c r="L70" i="1"/>
  <c r="N70" i="1"/>
  <c r="O70" i="1"/>
  <c r="P70" i="1"/>
  <c r="Q70" i="1"/>
  <c r="R70" i="1"/>
  <c r="S70" i="1"/>
  <c r="T70" i="1"/>
  <c r="A71" i="1"/>
  <c r="D71" i="1"/>
  <c r="G71" i="1"/>
  <c r="H71" i="1"/>
  <c r="I71" i="1"/>
  <c r="J71" i="1"/>
  <c r="L71" i="1"/>
  <c r="N71" i="1"/>
  <c r="O71" i="1"/>
  <c r="P71" i="1"/>
  <c r="Q71" i="1"/>
  <c r="R71" i="1"/>
  <c r="S71" i="1"/>
  <c r="T71" i="1"/>
  <c r="A72" i="1"/>
  <c r="D72" i="1"/>
  <c r="G72" i="1"/>
  <c r="H72" i="1"/>
  <c r="I72" i="1"/>
  <c r="J72" i="1"/>
  <c r="L72" i="1"/>
  <c r="N72" i="1"/>
  <c r="O72" i="1"/>
  <c r="P72" i="1"/>
  <c r="Q72" i="1"/>
  <c r="R72" i="1"/>
  <c r="S72" i="1"/>
  <c r="T72" i="1"/>
  <c r="A73" i="1"/>
  <c r="D73" i="1"/>
  <c r="G73" i="1"/>
  <c r="H73" i="1"/>
  <c r="I73" i="1"/>
  <c r="J73" i="1"/>
  <c r="L73" i="1"/>
  <c r="N73" i="1"/>
  <c r="O73" i="1"/>
  <c r="P73" i="1"/>
  <c r="Q73" i="1"/>
  <c r="R73" i="1"/>
  <c r="S73" i="1"/>
  <c r="T73" i="1"/>
  <c r="A74" i="1"/>
  <c r="D74" i="1"/>
  <c r="G74" i="1"/>
  <c r="H74" i="1"/>
  <c r="I74" i="1"/>
  <c r="J74" i="1"/>
  <c r="L74" i="1"/>
  <c r="N74" i="1"/>
  <c r="O74" i="1"/>
  <c r="P74" i="1"/>
  <c r="Q74" i="1"/>
  <c r="R74" i="1"/>
  <c r="S74" i="1"/>
  <c r="T74" i="1"/>
  <c r="A75" i="1"/>
  <c r="D75" i="1"/>
  <c r="G75" i="1"/>
  <c r="H75" i="1"/>
  <c r="I75" i="1"/>
  <c r="J75" i="1"/>
  <c r="L75" i="1"/>
  <c r="N75" i="1"/>
  <c r="O75" i="1"/>
  <c r="P75" i="1"/>
  <c r="Q75" i="1"/>
  <c r="R75" i="1"/>
  <c r="S75" i="1"/>
  <c r="T75" i="1"/>
  <c r="A76" i="1"/>
  <c r="D76" i="1"/>
  <c r="G76" i="1"/>
  <c r="H76" i="1"/>
  <c r="I76" i="1"/>
  <c r="J76" i="1"/>
  <c r="L76" i="1"/>
  <c r="N76" i="1"/>
  <c r="O76" i="1"/>
  <c r="P76" i="1"/>
  <c r="Q76" i="1"/>
  <c r="R76" i="1"/>
  <c r="S76" i="1"/>
  <c r="T76" i="1"/>
  <c r="A77" i="1"/>
  <c r="D77" i="1"/>
  <c r="G77" i="1"/>
  <c r="H77" i="1"/>
  <c r="I77" i="1"/>
  <c r="J77" i="1"/>
  <c r="L77" i="1"/>
  <c r="N77" i="1"/>
  <c r="O77" i="1"/>
  <c r="P77" i="1"/>
  <c r="Q77" i="1"/>
  <c r="R77" i="1"/>
  <c r="S77" i="1"/>
  <c r="T77" i="1"/>
  <c r="A78" i="1"/>
  <c r="D78" i="1"/>
  <c r="G78" i="1"/>
  <c r="H78" i="1"/>
  <c r="I78" i="1"/>
  <c r="J78" i="1"/>
  <c r="L78" i="1"/>
  <c r="N78" i="1"/>
  <c r="O78" i="1"/>
  <c r="P78" i="1"/>
  <c r="Q78" i="1"/>
  <c r="R78" i="1"/>
  <c r="S78" i="1"/>
  <c r="T78" i="1"/>
  <c r="A79" i="1"/>
  <c r="D79" i="1"/>
  <c r="G79" i="1"/>
  <c r="H79" i="1"/>
  <c r="I79" i="1"/>
  <c r="J79" i="1"/>
  <c r="L79" i="1"/>
  <c r="N79" i="1"/>
  <c r="O79" i="1"/>
  <c r="P79" i="1"/>
  <c r="Q79" i="1"/>
  <c r="R79" i="1"/>
  <c r="S79" i="1"/>
  <c r="T79" i="1"/>
  <c r="A80" i="1"/>
  <c r="D80" i="1"/>
  <c r="G80" i="1"/>
  <c r="H80" i="1"/>
  <c r="I80" i="1"/>
  <c r="J80" i="1"/>
  <c r="L80" i="1"/>
  <c r="N80" i="1"/>
  <c r="O80" i="1"/>
  <c r="P80" i="1"/>
  <c r="Q80" i="1"/>
  <c r="R80" i="1"/>
  <c r="S80" i="1"/>
  <c r="T80" i="1"/>
  <c r="A81" i="1"/>
  <c r="D81" i="1"/>
  <c r="G81" i="1"/>
  <c r="H81" i="1"/>
  <c r="I81" i="1"/>
  <c r="J81" i="1"/>
  <c r="L81" i="1"/>
  <c r="N81" i="1"/>
  <c r="O81" i="1"/>
  <c r="P81" i="1"/>
  <c r="Q81" i="1"/>
  <c r="R81" i="1"/>
  <c r="S81" i="1"/>
  <c r="T81" i="1"/>
  <c r="A82" i="1"/>
  <c r="D82" i="1"/>
  <c r="G82" i="1"/>
  <c r="H82" i="1"/>
  <c r="I82" i="1"/>
  <c r="J82" i="1"/>
  <c r="L82" i="1"/>
  <c r="N82" i="1"/>
  <c r="O82" i="1"/>
  <c r="P82" i="1"/>
  <c r="Q82" i="1"/>
  <c r="R82" i="1"/>
  <c r="S82" i="1"/>
  <c r="T82" i="1"/>
  <c r="A83" i="1"/>
  <c r="D83" i="1"/>
  <c r="G83" i="1"/>
  <c r="H83" i="1"/>
  <c r="I83" i="1"/>
  <c r="J83" i="1"/>
  <c r="L83" i="1"/>
  <c r="N83" i="1"/>
  <c r="O83" i="1"/>
  <c r="P83" i="1"/>
  <c r="Q83" i="1"/>
  <c r="R83" i="1"/>
  <c r="S83" i="1"/>
  <c r="T83" i="1"/>
  <c r="A84" i="1"/>
  <c r="D84" i="1"/>
  <c r="G84" i="1"/>
  <c r="H84" i="1"/>
  <c r="I84" i="1"/>
  <c r="J84" i="1"/>
  <c r="L84" i="1"/>
  <c r="N84" i="1"/>
  <c r="O84" i="1"/>
  <c r="P84" i="1"/>
  <c r="Q84" i="1"/>
  <c r="R84" i="1"/>
  <c r="S84" i="1"/>
  <c r="T84" i="1"/>
  <c r="A85" i="1"/>
  <c r="D85" i="1"/>
  <c r="G85" i="1"/>
  <c r="H85" i="1"/>
  <c r="I85" i="1"/>
  <c r="J85" i="1"/>
  <c r="L85" i="1"/>
  <c r="N85" i="1"/>
  <c r="O85" i="1"/>
  <c r="P85" i="1"/>
  <c r="Q85" i="1"/>
  <c r="R85" i="1"/>
  <c r="S85" i="1"/>
  <c r="T85" i="1"/>
  <c r="A86" i="1"/>
  <c r="D86" i="1"/>
  <c r="G86" i="1"/>
  <c r="H86" i="1"/>
  <c r="I86" i="1"/>
  <c r="J86" i="1"/>
  <c r="L86" i="1"/>
  <c r="N86" i="1"/>
  <c r="O86" i="1"/>
  <c r="P86" i="1"/>
  <c r="Q86" i="1"/>
  <c r="R86" i="1"/>
  <c r="S86" i="1"/>
  <c r="T86" i="1"/>
  <c r="A87" i="1"/>
  <c r="D87" i="1"/>
  <c r="G87" i="1"/>
  <c r="H87" i="1"/>
  <c r="I87" i="1"/>
  <c r="J87" i="1"/>
  <c r="L87" i="1"/>
  <c r="N87" i="1"/>
  <c r="O87" i="1"/>
  <c r="P87" i="1"/>
  <c r="Q87" i="1"/>
  <c r="R87" i="1"/>
  <c r="S87" i="1"/>
  <c r="T87" i="1"/>
  <c r="A88" i="1"/>
  <c r="D88" i="1"/>
  <c r="G88" i="1"/>
  <c r="H88" i="1"/>
  <c r="I88" i="1"/>
  <c r="J88" i="1"/>
  <c r="L88" i="1"/>
  <c r="N88" i="1"/>
  <c r="O88" i="1"/>
  <c r="P88" i="1"/>
  <c r="Q88" i="1"/>
  <c r="R88" i="1"/>
  <c r="S88" i="1"/>
  <c r="T88" i="1"/>
  <c r="A89" i="1"/>
  <c r="D89" i="1"/>
  <c r="G89" i="1"/>
  <c r="H89" i="1"/>
  <c r="I89" i="1"/>
  <c r="J89" i="1"/>
  <c r="L89" i="1"/>
  <c r="N89" i="1"/>
  <c r="O89" i="1"/>
  <c r="P89" i="1"/>
  <c r="Q89" i="1"/>
  <c r="R89" i="1"/>
  <c r="S89" i="1"/>
  <c r="T89" i="1"/>
  <c r="A90" i="1"/>
  <c r="D90" i="1"/>
  <c r="G90" i="1"/>
  <c r="H90" i="1"/>
  <c r="I90" i="1"/>
  <c r="J90" i="1"/>
  <c r="L90" i="1"/>
  <c r="N90" i="1"/>
  <c r="O90" i="1"/>
  <c r="P90" i="1"/>
  <c r="Q90" i="1"/>
  <c r="R90" i="1"/>
  <c r="S90" i="1"/>
  <c r="T90" i="1"/>
  <c r="A91" i="1"/>
  <c r="D91" i="1"/>
  <c r="G91" i="1"/>
  <c r="H91" i="1"/>
  <c r="I91" i="1"/>
  <c r="J91" i="1"/>
  <c r="L91" i="1"/>
  <c r="N91" i="1"/>
  <c r="O91" i="1"/>
  <c r="P91" i="1"/>
  <c r="Q91" i="1"/>
  <c r="R91" i="1"/>
  <c r="S91" i="1"/>
  <c r="T91" i="1"/>
  <c r="A92" i="1"/>
  <c r="D92" i="1"/>
  <c r="G92" i="1"/>
  <c r="H92" i="1"/>
  <c r="I92" i="1"/>
  <c r="J92" i="1"/>
  <c r="L92" i="1"/>
  <c r="N92" i="1"/>
  <c r="O92" i="1"/>
  <c r="P92" i="1"/>
  <c r="Q92" i="1"/>
  <c r="R92" i="1"/>
  <c r="S92" i="1"/>
  <c r="T92" i="1"/>
  <c r="A93" i="1"/>
  <c r="D93" i="1"/>
  <c r="G93" i="1"/>
  <c r="H93" i="1"/>
  <c r="I93" i="1"/>
  <c r="J93" i="1"/>
  <c r="L93" i="1"/>
  <c r="N93" i="1"/>
  <c r="O93" i="1"/>
  <c r="P93" i="1"/>
  <c r="Q93" i="1"/>
  <c r="R93" i="1"/>
  <c r="S93" i="1"/>
  <c r="T93" i="1"/>
  <c r="A94" i="1"/>
  <c r="D94" i="1"/>
  <c r="G94" i="1"/>
  <c r="H94" i="1"/>
  <c r="I94" i="1"/>
  <c r="J94" i="1"/>
  <c r="L94" i="1"/>
  <c r="N94" i="1"/>
  <c r="O94" i="1"/>
  <c r="P94" i="1"/>
  <c r="Q94" i="1"/>
  <c r="R94" i="1"/>
  <c r="S94" i="1"/>
  <c r="T94" i="1"/>
  <c r="A95" i="1"/>
  <c r="D95" i="1"/>
  <c r="G95" i="1"/>
  <c r="H95" i="1"/>
  <c r="I95" i="1"/>
  <c r="J95" i="1"/>
  <c r="L95" i="1"/>
  <c r="N95" i="1"/>
  <c r="O95" i="1"/>
  <c r="P95" i="1"/>
  <c r="Q95" i="1"/>
  <c r="R95" i="1"/>
  <c r="S95" i="1"/>
  <c r="T95" i="1"/>
  <c r="A96" i="1"/>
  <c r="D96" i="1"/>
  <c r="G96" i="1"/>
  <c r="H96" i="1"/>
  <c r="I96" i="1"/>
  <c r="J96" i="1"/>
  <c r="L96" i="1"/>
  <c r="N96" i="1"/>
  <c r="O96" i="1"/>
  <c r="P96" i="1"/>
  <c r="Q96" i="1"/>
  <c r="R96" i="1"/>
  <c r="S96" i="1"/>
  <c r="T96" i="1"/>
  <c r="A97" i="1"/>
  <c r="D97" i="1"/>
  <c r="G97" i="1"/>
  <c r="H97" i="1"/>
  <c r="I97" i="1"/>
  <c r="J97" i="1"/>
  <c r="L97" i="1"/>
  <c r="N97" i="1"/>
  <c r="O97" i="1"/>
  <c r="P97" i="1"/>
  <c r="Q97" i="1"/>
  <c r="R97" i="1"/>
  <c r="S97" i="1"/>
  <c r="T97" i="1"/>
  <c r="A98" i="1"/>
  <c r="D98" i="1"/>
  <c r="G98" i="1"/>
  <c r="H98" i="1"/>
  <c r="I98" i="1"/>
  <c r="J98" i="1"/>
  <c r="L98" i="1"/>
  <c r="N98" i="1"/>
  <c r="O98" i="1"/>
  <c r="P98" i="1"/>
  <c r="Q98" i="1"/>
  <c r="R98" i="1"/>
  <c r="S98" i="1"/>
  <c r="T98" i="1"/>
  <c r="A99" i="1"/>
  <c r="D99" i="1"/>
  <c r="G99" i="1"/>
  <c r="H99" i="1"/>
  <c r="I99" i="1"/>
  <c r="J99" i="1"/>
  <c r="L99" i="1"/>
  <c r="N99" i="1"/>
  <c r="O99" i="1"/>
  <c r="P99" i="1"/>
  <c r="Q99" i="1"/>
  <c r="R99" i="1"/>
  <c r="S99" i="1"/>
  <c r="T99" i="1"/>
  <c r="A100" i="1"/>
  <c r="D100" i="1"/>
  <c r="G100" i="1"/>
  <c r="H100" i="1"/>
  <c r="I100" i="1"/>
  <c r="J100" i="1"/>
  <c r="L100" i="1"/>
  <c r="N100" i="1"/>
  <c r="O100" i="1"/>
  <c r="P100" i="1"/>
  <c r="Q100" i="1"/>
  <c r="R100" i="1"/>
  <c r="S100" i="1"/>
  <c r="T100" i="1"/>
  <c r="A101" i="1"/>
  <c r="D101" i="1"/>
  <c r="G101" i="1"/>
  <c r="H101" i="1"/>
  <c r="I101" i="1"/>
  <c r="J101" i="1"/>
  <c r="L101" i="1"/>
  <c r="N101" i="1"/>
  <c r="O101" i="1"/>
  <c r="P101" i="1"/>
  <c r="Q101" i="1"/>
  <c r="R101" i="1"/>
  <c r="S101" i="1"/>
  <c r="T101" i="1"/>
  <c r="A102" i="1"/>
  <c r="D102" i="1"/>
  <c r="G102" i="1"/>
  <c r="H102" i="1"/>
  <c r="I102" i="1"/>
  <c r="J102" i="1"/>
  <c r="L102" i="1"/>
  <c r="N102" i="1"/>
  <c r="O102" i="1"/>
  <c r="P102" i="1"/>
  <c r="Q102" i="1"/>
  <c r="R102" i="1"/>
  <c r="S102" i="1"/>
  <c r="T102" i="1"/>
  <c r="A103" i="1"/>
  <c r="D103" i="1"/>
  <c r="G103" i="1"/>
  <c r="H103" i="1"/>
  <c r="I103" i="1"/>
  <c r="J103" i="1"/>
  <c r="L103" i="1"/>
  <c r="N103" i="1"/>
  <c r="O103" i="1"/>
  <c r="P103" i="1"/>
  <c r="Q103" i="1"/>
  <c r="R103" i="1"/>
  <c r="S103" i="1"/>
  <c r="T103" i="1"/>
  <c r="A104" i="1"/>
  <c r="D104" i="1"/>
  <c r="G104" i="1"/>
  <c r="H104" i="1"/>
  <c r="I104" i="1"/>
  <c r="J104" i="1"/>
  <c r="L104" i="1"/>
  <c r="N104" i="1"/>
  <c r="O104" i="1"/>
  <c r="P104" i="1"/>
  <c r="Q104" i="1"/>
  <c r="R104" i="1"/>
  <c r="S104" i="1"/>
  <c r="T104" i="1"/>
  <c r="A105" i="1"/>
  <c r="D105" i="1"/>
  <c r="G105" i="1"/>
  <c r="H105" i="1"/>
  <c r="I105" i="1"/>
  <c r="J105" i="1"/>
  <c r="L105" i="1"/>
  <c r="N105" i="1"/>
  <c r="O105" i="1"/>
  <c r="P105" i="1"/>
  <c r="Q105" i="1"/>
  <c r="R105" i="1"/>
  <c r="S105" i="1"/>
  <c r="T105" i="1"/>
  <c r="A106" i="1"/>
  <c r="D106" i="1"/>
  <c r="G106" i="1"/>
  <c r="H106" i="1"/>
  <c r="I106" i="1"/>
  <c r="J106" i="1"/>
  <c r="L106" i="1"/>
  <c r="N106" i="1"/>
  <c r="O106" i="1"/>
  <c r="P106" i="1"/>
  <c r="Q106" i="1"/>
  <c r="R106" i="1"/>
  <c r="S106" i="1"/>
  <c r="T106" i="1"/>
  <c r="I16" i="2" l="1"/>
  <c r="J7" i="1" l="1"/>
  <c r="I7" i="1"/>
  <c r="H7" i="1"/>
  <c r="R7" i="1"/>
  <c r="N7" i="1" s="1"/>
  <c r="Q7" i="1"/>
  <c r="L7" i="1"/>
  <c r="H18" i="2"/>
  <c r="H17" i="2"/>
  <c r="F18" i="2"/>
  <c r="F17" i="2"/>
  <c r="D18" i="2"/>
  <c r="D17" i="2"/>
  <c r="D10" i="2"/>
  <c r="D15" i="2"/>
  <c r="R9" i="2"/>
  <c r="D11" i="2"/>
  <c r="D14" i="2"/>
  <c r="H14" i="2"/>
  <c r="F14" i="2"/>
  <c r="D12" i="2"/>
  <c r="G12" i="2"/>
  <c r="E12" i="2"/>
  <c r="G11" i="2"/>
  <c r="E11" i="2"/>
  <c r="H12" i="2"/>
  <c r="F12" i="2"/>
  <c r="H11" i="2"/>
  <c r="F11" i="2"/>
  <c r="H10" i="2"/>
  <c r="F10" i="2"/>
  <c r="G14" i="2"/>
  <c r="E14" i="2"/>
  <c r="E10" i="2"/>
  <c r="G10" i="2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3" i="4"/>
  <c r="K16" i="2" l="1"/>
  <c r="C14" i="2"/>
  <c r="H19" i="2"/>
  <c r="E19" i="2"/>
  <c r="D19" i="2"/>
  <c r="F19" i="2"/>
  <c r="J16" i="2"/>
  <c r="J19" i="2" s="1"/>
  <c r="G19" i="2"/>
  <c r="D7" i="1"/>
  <c r="I19" i="2" l="1"/>
  <c r="Z26" i="2"/>
  <c r="Z25" i="2"/>
  <c r="Z24" i="2"/>
  <c r="V26" i="2"/>
  <c r="V25" i="2"/>
  <c r="V24" i="2"/>
  <c r="X26" i="2"/>
  <c r="X25" i="2"/>
  <c r="X24" i="2"/>
  <c r="T26" i="2"/>
  <c r="T25" i="2"/>
  <c r="T24" i="2"/>
  <c r="S7" i="1"/>
  <c r="W26" i="2"/>
  <c r="Y26" i="2" s="1"/>
  <c r="W25" i="2"/>
  <c r="Y25" i="2" s="1"/>
  <c r="W24" i="2"/>
  <c r="Y24" i="2" s="1"/>
  <c r="S26" i="2"/>
  <c r="U26" i="2" s="1"/>
  <c r="S25" i="2"/>
  <c r="U25" i="2" s="1"/>
  <c r="S24" i="2"/>
  <c r="U24" i="2" s="1"/>
  <c r="T27" i="2" l="1"/>
  <c r="S9" i="2"/>
  <c r="Z27" i="2"/>
  <c r="X27" i="2"/>
  <c r="V27" i="2"/>
  <c r="S27" i="2"/>
  <c r="W27" i="2"/>
  <c r="T9" i="2" l="1"/>
  <c r="B6" i="4" l="1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5" i="4"/>
  <c r="P24" i="2" l="1"/>
  <c r="L24" i="2"/>
  <c r="L26" i="2"/>
  <c r="O26" i="2"/>
  <c r="Q26" i="2" s="1"/>
  <c r="R26" i="2"/>
  <c r="N26" i="2"/>
  <c r="O24" i="2"/>
  <c r="K25" i="2"/>
  <c r="R24" i="2"/>
  <c r="P26" i="2"/>
  <c r="O25" i="2"/>
  <c r="Q25" i="2" s="1"/>
  <c r="N24" i="2"/>
  <c r="K26" i="2"/>
  <c r="K24" i="2"/>
  <c r="G24" i="2"/>
  <c r="C25" i="2"/>
  <c r="C24" i="2"/>
  <c r="G25" i="2"/>
  <c r="C26" i="2"/>
  <c r="G26" i="2"/>
  <c r="M24" i="2" l="1"/>
  <c r="K27" i="2"/>
  <c r="Q24" i="2"/>
  <c r="O27" i="2"/>
  <c r="G27" i="2"/>
  <c r="I24" i="2"/>
  <c r="C27" i="2"/>
  <c r="C15" i="2" l="1"/>
  <c r="K15" i="2"/>
  <c r="C10" i="2"/>
  <c r="R25" i="2"/>
  <c r="R27" i="2" s="1"/>
  <c r="N6" i="4"/>
  <c r="M6" i="4"/>
  <c r="L25" i="2" s="1"/>
  <c r="M4" i="4"/>
  <c r="N4" i="4"/>
  <c r="N99" i="4"/>
  <c r="M99" i="4"/>
  <c r="N97" i="4"/>
  <c r="M97" i="4"/>
  <c r="N95" i="4"/>
  <c r="M95" i="4"/>
  <c r="N93" i="4"/>
  <c r="M93" i="4"/>
  <c r="N87" i="4"/>
  <c r="M87" i="4"/>
  <c r="N81" i="4"/>
  <c r="M81" i="4"/>
  <c r="N77" i="4"/>
  <c r="M77" i="4"/>
  <c r="N75" i="4"/>
  <c r="M75" i="4"/>
  <c r="N71" i="4"/>
  <c r="M71" i="4"/>
  <c r="N67" i="4"/>
  <c r="M67" i="4"/>
  <c r="N63" i="4"/>
  <c r="M63" i="4"/>
  <c r="N61" i="4"/>
  <c r="M61" i="4"/>
  <c r="N57" i="4"/>
  <c r="M57" i="4"/>
  <c r="N53" i="4"/>
  <c r="M53" i="4"/>
  <c r="N49" i="4"/>
  <c r="M49" i="4"/>
  <c r="N45" i="4"/>
  <c r="M45" i="4"/>
  <c r="N41" i="4"/>
  <c r="M41" i="4"/>
  <c r="N37" i="4"/>
  <c r="M37" i="4"/>
  <c r="N33" i="4"/>
  <c r="M33" i="4"/>
  <c r="N29" i="4"/>
  <c r="M29" i="4"/>
  <c r="N25" i="4"/>
  <c r="M25" i="4"/>
  <c r="N23" i="4"/>
  <c r="M23" i="4"/>
  <c r="M19" i="4"/>
  <c r="N19" i="4"/>
  <c r="M102" i="4"/>
  <c r="N102" i="4"/>
  <c r="M100" i="4"/>
  <c r="N100" i="4"/>
  <c r="M98" i="4"/>
  <c r="N98" i="4"/>
  <c r="M96" i="4"/>
  <c r="N96" i="4"/>
  <c r="M94" i="4"/>
  <c r="N94" i="4"/>
  <c r="M92" i="4"/>
  <c r="N92" i="4"/>
  <c r="M90" i="4"/>
  <c r="N90" i="4"/>
  <c r="M88" i="4"/>
  <c r="N88" i="4"/>
  <c r="M86" i="4"/>
  <c r="N86" i="4"/>
  <c r="M84" i="4"/>
  <c r="N84" i="4"/>
  <c r="M82" i="4"/>
  <c r="N82" i="4"/>
  <c r="M80" i="4"/>
  <c r="N80" i="4"/>
  <c r="M78" i="4"/>
  <c r="N78" i="4"/>
  <c r="M76" i="4"/>
  <c r="N76" i="4"/>
  <c r="M74" i="4"/>
  <c r="N74" i="4"/>
  <c r="M72" i="4"/>
  <c r="N72" i="4"/>
  <c r="M70" i="4"/>
  <c r="N70" i="4"/>
  <c r="M68" i="4"/>
  <c r="N68" i="4"/>
  <c r="M66" i="4"/>
  <c r="N66" i="4"/>
  <c r="M64" i="4"/>
  <c r="N64" i="4"/>
  <c r="M62" i="4"/>
  <c r="N62" i="4"/>
  <c r="M60" i="4"/>
  <c r="N60" i="4"/>
  <c r="M58" i="4"/>
  <c r="N58" i="4"/>
  <c r="M56" i="4"/>
  <c r="N56" i="4"/>
  <c r="M54" i="4"/>
  <c r="N54" i="4"/>
  <c r="M52" i="4"/>
  <c r="N52" i="4"/>
  <c r="M50" i="4"/>
  <c r="N50" i="4"/>
  <c r="M48" i="4"/>
  <c r="N48" i="4"/>
  <c r="M46" i="4"/>
  <c r="N46" i="4"/>
  <c r="M44" i="4"/>
  <c r="N44" i="4"/>
  <c r="M42" i="4"/>
  <c r="N42" i="4"/>
  <c r="M40" i="4"/>
  <c r="N40" i="4"/>
  <c r="M38" i="4"/>
  <c r="N38" i="4"/>
  <c r="M36" i="4"/>
  <c r="N36" i="4"/>
  <c r="M34" i="4"/>
  <c r="N34" i="4"/>
  <c r="M32" i="4"/>
  <c r="N32" i="4"/>
  <c r="M30" i="4"/>
  <c r="N30" i="4"/>
  <c r="M28" i="4"/>
  <c r="N28" i="4"/>
  <c r="N26" i="4"/>
  <c r="M26" i="4"/>
  <c r="M24" i="4"/>
  <c r="N24" i="4"/>
  <c r="N22" i="4"/>
  <c r="M22" i="4"/>
  <c r="M20" i="4"/>
  <c r="N20" i="4"/>
  <c r="N18" i="4"/>
  <c r="M18" i="4"/>
  <c r="M16" i="4"/>
  <c r="N16" i="4"/>
  <c r="N14" i="4"/>
  <c r="M14" i="4"/>
  <c r="M12" i="4"/>
  <c r="N12" i="4"/>
  <c r="M7" i="4"/>
  <c r="N7" i="4"/>
  <c r="N5" i="4"/>
  <c r="H24" i="2" s="1"/>
  <c r="M5" i="4"/>
  <c r="D24" i="2" s="1"/>
  <c r="E24" i="2" s="1"/>
  <c r="N101" i="4"/>
  <c r="M101" i="4"/>
  <c r="N91" i="4"/>
  <c r="M91" i="4"/>
  <c r="N89" i="4"/>
  <c r="M89" i="4"/>
  <c r="N85" i="4"/>
  <c r="M85" i="4"/>
  <c r="N83" i="4"/>
  <c r="M83" i="4"/>
  <c r="N79" i="4"/>
  <c r="M79" i="4"/>
  <c r="N73" i="4"/>
  <c r="M73" i="4"/>
  <c r="N69" i="4"/>
  <c r="M69" i="4"/>
  <c r="N65" i="4"/>
  <c r="M65" i="4"/>
  <c r="N59" i="4"/>
  <c r="M59" i="4"/>
  <c r="N55" i="4"/>
  <c r="M55" i="4"/>
  <c r="N51" i="4"/>
  <c r="M51" i="4"/>
  <c r="N47" i="4"/>
  <c r="M47" i="4"/>
  <c r="N43" i="4"/>
  <c r="M43" i="4"/>
  <c r="N39" i="4"/>
  <c r="M39" i="4"/>
  <c r="N35" i="4"/>
  <c r="M35" i="4"/>
  <c r="N31" i="4"/>
  <c r="M31" i="4"/>
  <c r="N27" i="4"/>
  <c r="M27" i="4"/>
  <c r="N21" i="4"/>
  <c r="M21" i="4"/>
  <c r="N17" i="4"/>
  <c r="M17" i="4"/>
  <c r="M15" i="4"/>
  <c r="N15" i="4"/>
  <c r="N13" i="4"/>
  <c r="M13" i="4"/>
  <c r="M11" i="4"/>
  <c r="N11" i="4"/>
  <c r="N10" i="4"/>
  <c r="M10" i="4"/>
  <c r="N9" i="4"/>
  <c r="M9" i="4"/>
  <c r="M8" i="4"/>
  <c r="N8" i="4"/>
  <c r="J24" i="2"/>
  <c r="P25" i="2"/>
  <c r="P27" i="2" s="1"/>
  <c r="F24" i="2"/>
  <c r="N25" i="2" l="1"/>
  <c r="N27" i="2" s="1"/>
  <c r="L27" i="2"/>
  <c r="M25" i="2"/>
  <c r="U9" i="2"/>
  <c r="A7" i="1" l="1"/>
  <c r="E2" i="2" l="1"/>
  <c r="G7" i="1"/>
  <c r="N3" i="4" l="1"/>
  <c r="M3" i="4"/>
  <c r="P7" i="1"/>
  <c r="C11" i="2" s="1"/>
  <c r="O7" i="1"/>
  <c r="C12" i="2" s="1"/>
  <c r="K14" i="2"/>
  <c r="K13" i="2"/>
  <c r="K10" i="2"/>
  <c r="C19" i="2" l="1"/>
  <c r="H25" i="2"/>
  <c r="I25" i="2" s="1"/>
  <c r="H26" i="2"/>
  <c r="I26" i="2" s="1"/>
  <c r="D25" i="2"/>
  <c r="E25" i="2" s="1"/>
  <c r="D26" i="2"/>
  <c r="E26" i="2" s="1"/>
  <c r="J25" i="2"/>
  <c r="J26" i="2"/>
  <c r="F25" i="2"/>
  <c r="F26" i="2"/>
  <c r="K11" i="2"/>
  <c r="K19" i="2" s="1"/>
  <c r="T7" i="1"/>
  <c r="D27" i="2" l="1"/>
  <c r="H27" i="2"/>
  <c r="F27" i="2"/>
  <c r="J27" i="2"/>
</calcChain>
</file>

<file path=xl/comments1.xml><?xml version="1.0" encoding="utf-8"?>
<comments xmlns="http://schemas.openxmlformats.org/spreadsheetml/2006/main">
  <authors>
    <author>Pribil-Kövesdy Döníz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Egy főre maximálisan csak 700 euró igényelhető! Amennyiben 1 munkatárs több mobilitásban is részt vesz, a 700 euró feletti rész az ő esetében a végösszegből levonandó!</t>
        </r>
      </text>
    </comment>
  </commentList>
</comments>
</file>

<file path=xl/comments2.xml><?xml version="1.0" encoding="utf-8"?>
<comments xmlns="http://schemas.openxmlformats.org/spreadsheetml/2006/main">
  <authors>
    <author>Pribil-Kövesdy Döníz</author>
  </authors>
  <commentList>
    <comment ref="M7" authorId="0" shapeId="0">
      <text>
        <r>
          <rPr>
            <b/>
            <u/>
            <sz val="16"/>
            <color indexed="81"/>
            <rFont val="Calibri"/>
            <family val="2"/>
            <charset val="238"/>
            <scheme val="minor"/>
          </rPr>
          <t>Példa a kurzusdíjak elszámolására:</t>
        </r>
        <r>
          <rPr>
            <b/>
            <u/>
            <sz val="14"/>
            <color indexed="81"/>
            <rFont val="Calibri"/>
            <family val="2"/>
            <charset val="238"/>
            <scheme val="minor"/>
          </rPr>
          <t xml:space="preserve">
</t>
        </r>
        <r>
          <rPr>
            <u/>
            <sz val="14"/>
            <color indexed="81"/>
            <rFont val="Calibri"/>
            <family val="2"/>
            <charset val="238"/>
            <scheme val="minor"/>
          </rPr>
          <t>Kiss István mobilitásai:</t>
        </r>
        <r>
          <rPr>
            <sz val="14"/>
            <color indexed="81"/>
            <rFont val="Calibri"/>
            <family val="2"/>
            <charset val="238"/>
            <scheme val="minor"/>
          </rPr>
          <t xml:space="preserve"> Kettő 12 napos kurzus
</t>
        </r>
        <r>
          <rPr>
            <u/>
            <sz val="14"/>
            <color indexed="81"/>
            <rFont val="Calibri"/>
            <family val="2"/>
            <charset val="238"/>
            <scheme val="minor"/>
          </rPr>
          <t>Molnár Piroska mobilitásai:</t>
        </r>
        <r>
          <rPr>
            <sz val="14"/>
            <color indexed="81"/>
            <rFont val="Calibri"/>
            <family val="2"/>
            <charset val="238"/>
            <scheme val="minor"/>
          </rPr>
          <t xml:space="preserve"> Egy 12 napos és egy 5 napos kurzus 
</t>
        </r>
        <r>
          <rPr>
            <u/>
            <sz val="14"/>
            <color indexed="81"/>
            <rFont val="Calibri"/>
            <family val="2"/>
            <charset val="238"/>
            <scheme val="minor"/>
          </rPr>
          <t>Nagy Lenke mobilitásai:</t>
        </r>
        <r>
          <rPr>
            <sz val="14"/>
            <color indexed="81"/>
            <rFont val="Calibri"/>
            <family val="2"/>
            <charset val="238"/>
            <scheme val="minor"/>
          </rPr>
          <t xml:space="preserve"> Egy 4 napos és egy 8 napos kurzus
</t>
        </r>
        <r>
          <rPr>
            <u/>
            <sz val="14"/>
            <color indexed="81"/>
            <rFont val="Calibri"/>
            <family val="2"/>
            <charset val="238"/>
            <scheme val="minor"/>
          </rPr>
          <t xml:space="preserve">Kovács Gergő mobilitásai: </t>
        </r>
        <r>
          <rPr>
            <sz val="14"/>
            <color indexed="81"/>
            <rFont val="Calibri"/>
            <family val="2"/>
            <charset val="238"/>
            <scheme val="minor"/>
          </rPr>
          <t xml:space="preserve">Egy  4 napos és egy 6 napos kurzus
Kiss István második </t>
        </r>
        <r>
          <rPr>
            <b/>
            <sz val="14"/>
            <color indexed="81"/>
            <rFont val="Calibri"/>
            <family val="2"/>
            <charset val="238"/>
            <scheme val="minor"/>
          </rPr>
          <t>12 napos</t>
        </r>
        <r>
          <rPr>
            <sz val="14"/>
            <color indexed="81"/>
            <rFont val="Calibri"/>
            <family val="2"/>
            <charset val="238"/>
            <scheme val="minor"/>
          </rPr>
          <t xml:space="preserve"> kurzusára </t>
        </r>
        <r>
          <rPr>
            <u/>
            <sz val="14"/>
            <color indexed="81"/>
            <rFont val="Calibri"/>
            <family val="2"/>
            <charset val="238"/>
            <scheme val="minor"/>
          </rPr>
          <t>10 nap kurzusdíj</t>
        </r>
        <r>
          <rPr>
            <sz val="14"/>
            <color indexed="81"/>
            <rFont val="Calibri"/>
            <family val="2"/>
            <charset val="238"/>
            <scheme val="minor"/>
          </rPr>
          <t xml:space="preserve">, Molnár Piroska </t>
        </r>
        <r>
          <rPr>
            <b/>
            <sz val="14"/>
            <color indexed="81"/>
            <rFont val="Calibri"/>
            <family val="2"/>
            <charset val="238"/>
            <scheme val="minor"/>
          </rPr>
          <t>5 napos</t>
        </r>
        <r>
          <rPr>
            <sz val="14"/>
            <color indexed="81"/>
            <rFont val="Calibri"/>
            <family val="2"/>
            <charset val="238"/>
            <scheme val="minor"/>
          </rPr>
          <t xml:space="preserve"> kurzusára </t>
        </r>
        <r>
          <rPr>
            <u/>
            <sz val="14"/>
            <color indexed="81"/>
            <rFont val="Calibri"/>
            <family val="2"/>
            <charset val="238"/>
            <scheme val="minor"/>
          </rPr>
          <t>5 nap kurzusdíj</t>
        </r>
        <r>
          <rPr>
            <sz val="14"/>
            <color indexed="81"/>
            <rFont val="Calibri"/>
            <family val="2"/>
            <charset val="238"/>
            <scheme val="minor"/>
          </rPr>
          <t xml:space="preserve"> és Nagy Lenke </t>
        </r>
        <r>
          <rPr>
            <b/>
            <sz val="14"/>
            <color indexed="81"/>
            <rFont val="Calibri"/>
            <family val="2"/>
            <charset val="238"/>
            <scheme val="minor"/>
          </rPr>
          <t>8 napos</t>
        </r>
        <r>
          <rPr>
            <sz val="14"/>
            <color indexed="81"/>
            <rFont val="Calibri"/>
            <family val="2"/>
            <charset val="238"/>
            <scheme val="minor"/>
          </rPr>
          <t xml:space="preserve"> kurzusára</t>
        </r>
        <r>
          <rPr>
            <u/>
            <sz val="14"/>
            <color indexed="81"/>
            <rFont val="Calibri"/>
            <family val="2"/>
            <charset val="238"/>
            <scheme val="minor"/>
          </rPr>
          <t xml:space="preserve"> 2 nap kurzusdíj</t>
        </r>
        <r>
          <rPr>
            <sz val="14"/>
            <color indexed="81"/>
            <rFont val="Calibri"/>
            <family val="2"/>
            <charset val="238"/>
            <scheme val="minor"/>
          </rPr>
          <t xml:space="preserve"> nem számolható el! 
Kovács Gergő esetében az igényelt támogatás nem haladja meg a max. 700 eurót, így az ő esetében a teljes kurzusdíj elszámolható!
</t>
        </r>
        <r>
          <rPr>
            <u/>
            <sz val="14"/>
            <color indexed="81"/>
            <rFont val="Calibri"/>
            <family val="2"/>
            <charset val="238"/>
            <scheme val="minor"/>
          </rPr>
          <t>Levonásban érintett résztvevők száma (mobilitás):</t>
        </r>
        <r>
          <rPr>
            <b/>
            <sz val="14"/>
            <color indexed="81"/>
            <rFont val="Calibri"/>
            <family val="2"/>
            <charset val="238"/>
            <scheme val="minor"/>
          </rPr>
          <t xml:space="preserve"> 3
</t>
        </r>
        <r>
          <rPr>
            <u/>
            <sz val="14"/>
            <color indexed="81"/>
            <rFont val="Calibri"/>
            <family val="2"/>
            <charset val="238"/>
            <scheme val="minor"/>
          </rPr>
          <t>Nem elszámolható napok száma:</t>
        </r>
        <r>
          <rPr>
            <sz val="14"/>
            <color indexed="81"/>
            <rFont val="Calibri"/>
            <family val="2"/>
            <charset val="238"/>
            <scheme val="minor"/>
          </rPr>
          <t xml:space="preserve"> </t>
        </r>
        <r>
          <rPr>
            <b/>
            <sz val="14"/>
            <color indexed="81"/>
            <rFont val="Calibri"/>
            <family val="2"/>
            <charset val="238"/>
            <scheme val="minor"/>
          </rPr>
          <t xml:space="preserve">17
</t>
        </r>
        <r>
          <rPr>
            <u/>
            <sz val="14"/>
            <color indexed="81"/>
            <rFont val="Calibri"/>
            <family val="2"/>
            <charset val="238"/>
            <scheme val="minor"/>
          </rPr>
          <t>Nem elszámolható kurzusdíj összege:</t>
        </r>
        <r>
          <rPr>
            <sz val="14"/>
            <color indexed="81"/>
            <rFont val="Calibri"/>
            <family val="2"/>
            <charset val="238"/>
            <scheme val="minor"/>
          </rPr>
          <t xml:space="preserve"> </t>
        </r>
        <r>
          <rPr>
            <b/>
            <sz val="14"/>
            <color indexed="81"/>
            <rFont val="Calibri"/>
            <family val="2"/>
            <charset val="238"/>
            <scheme val="minor"/>
          </rPr>
          <t>1190</t>
        </r>
        <r>
          <rPr>
            <sz val="14"/>
            <color indexed="81"/>
            <rFont val="Calibri"/>
            <family val="2"/>
            <charset val="238"/>
            <scheme val="minor"/>
          </rPr>
          <t xml:space="preserve">
</t>
        </r>
        <r>
          <rPr>
            <i/>
            <sz val="14"/>
            <color indexed="81"/>
            <rFont val="Calibri"/>
            <family val="2"/>
            <charset val="238"/>
            <scheme val="minor"/>
          </rPr>
          <t>Napok száma: 10+5+2
Kurzusdíj összege: 700+350+140</t>
        </r>
      </text>
    </comment>
  </commentList>
</comments>
</file>

<file path=xl/sharedStrings.xml><?xml version="1.0" encoding="utf-8"?>
<sst xmlns="http://schemas.openxmlformats.org/spreadsheetml/2006/main" count="143" uniqueCount="108">
  <si>
    <t>Tevékenység típusa</t>
  </si>
  <si>
    <t>Teljes időtartam az utazással töltött idő nélkül (nap)</t>
  </si>
  <si>
    <t>Az utazással töltött idő (nap)</t>
  </si>
  <si>
    <t>Teljes időtartam az utazással töltött idővel együtt (nap)</t>
  </si>
  <si>
    <t>Speciális igényű résztvevők (a résztvevők összlétszámából)</t>
  </si>
  <si>
    <t>Kurzusdíj</t>
  </si>
  <si>
    <t>Távolsági sáv</t>
  </si>
  <si>
    <t>Utazási támogatás (/fő)</t>
  </si>
  <si>
    <t>100-499 km</t>
  </si>
  <si>
    <t>500-1999 km</t>
  </si>
  <si>
    <t>2000-2999 km</t>
  </si>
  <si>
    <t>3000-3999 km</t>
  </si>
  <si>
    <t>4000-7999 km</t>
  </si>
  <si>
    <t>1-14. napjáig</t>
  </si>
  <si>
    <t>15-től 60. napjáig</t>
  </si>
  <si>
    <t>Célország</t>
  </si>
  <si>
    <t>Napi megélhetési támogatás (EUR)</t>
  </si>
  <si>
    <t>Ausztria</t>
  </si>
  <si>
    <t>Belgium</t>
  </si>
  <si>
    <t>Bulgária</t>
  </si>
  <si>
    <t>Ciprus</t>
  </si>
  <si>
    <t>Cseh Köztársaság</t>
  </si>
  <si>
    <t>Németország</t>
  </si>
  <si>
    <t>Dánia</t>
  </si>
  <si>
    <t>Észtország</t>
  </si>
  <si>
    <t>Görögország</t>
  </si>
  <si>
    <t>Spanyolország</t>
  </si>
  <si>
    <t>Finnország</t>
  </si>
  <si>
    <t>Franciaország</t>
  </si>
  <si>
    <t>Horvátország</t>
  </si>
  <si>
    <t>Írország</t>
  </si>
  <si>
    <t>Izland</t>
  </si>
  <si>
    <t>Olaszország</t>
  </si>
  <si>
    <t>Liechtenstein</t>
  </si>
  <si>
    <t>Litvánia</t>
  </si>
  <si>
    <t>Luxemburg</t>
  </si>
  <si>
    <t>Lettország</t>
  </si>
  <si>
    <t>Macedónia</t>
  </si>
  <si>
    <t>Málta</t>
  </si>
  <si>
    <t>Hollandia</t>
  </si>
  <si>
    <t>Norvégia</t>
  </si>
  <si>
    <t>Lengyelország</t>
  </si>
  <si>
    <t>Portugália</t>
  </si>
  <si>
    <t>Románia</t>
  </si>
  <si>
    <t>Svédország</t>
  </si>
  <si>
    <t>Szlovénia</t>
  </si>
  <si>
    <t>Szlovákia</t>
  </si>
  <si>
    <t>Törökország</t>
  </si>
  <si>
    <t>Egyesült Királyság</t>
  </si>
  <si>
    <t>0-09 km</t>
  </si>
  <si>
    <t>10-99 km</t>
  </si>
  <si>
    <t>8000 km-</t>
  </si>
  <si>
    <t>Szerbia</t>
  </si>
  <si>
    <t>Tevékenységek</t>
  </si>
  <si>
    <t>Köznevelési intézmények mobilitása</t>
  </si>
  <si>
    <t>Szakmai látogatás (Job-shadowing tevékenység)</t>
  </si>
  <si>
    <t>Külföldi oktatási tevékenység</t>
  </si>
  <si>
    <t>Szervezett külföldi kurzuson vagy továbbképzésen, illetve nyelvtanfolyamon való részvétel</t>
  </si>
  <si>
    <t>Sszám</t>
  </si>
  <si>
    <t>Egyéni támogatás</t>
  </si>
  <si>
    <t>Utazási támogatás</t>
  </si>
  <si>
    <t>Speciális támogatás</t>
  </si>
  <si>
    <t>Rendkívüli támogatás</t>
  </si>
  <si>
    <t>Utazási támogatás (€)</t>
  </si>
  <si>
    <t>Speciális támogatás (€)</t>
  </si>
  <si>
    <t>Kurzusdíj (€)</t>
  </si>
  <si>
    <t>Pályázó intézmény neve:</t>
  </si>
  <si>
    <t>Szervezési támogatás</t>
  </si>
  <si>
    <t>Összesen:</t>
  </si>
  <si>
    <t>Rendkívüli támogatást igénylő résztvevők  (a résztvevők összlétszámából)</t>
  </si>
  <si>
    <t>Levont kurzusdíj szöveges indoklása/levezetése</t>
  </si>
  <si>
    <t>Köznevelési intézmények munkatársainak mobilitása</t>
  </si>
  <si>
    <t>1. országcsoport</t>
  </si>
  <si>
    <t>2. országcsoport</t>
  </si>
  <si>
    <t>3. országcsoport</t>
  </si>
  <si>
    <t>Csoport</t>
  </si>
  <si>
    <t>Országcsoportok</t>
  </si>
  <si>
    <t>Összesen</t>
  </si>
  <si>
    <t>Napok száma összesen</t>
  </si>
  <si>
    <t xml:space="preserve">Űrlapba írandó átlag napok száma </t>
  </si>
  <si>
    <t>Támogatási összeg (€)</t>
  </si>
  <si>
    <t>Nem elszámolható kurzusdíj összege (€)</t>
  </si>
  <si>
    <t>Kurzusdíj számítása</t>
  </si>
  <si>
    <t>Résztvevők száma (fő)</t>
  </si>
  <si>
    <t>Nem elszámolható napok száma (nap)</t>
  </si>
  <si>
    <t>Egyéni támogatás számítása</t>
  </si>
  <si>
    <t>Segédlet napok száma</t>
  </si>
  <si>
    <t>Segédlet kurzus napok száma</t>
  </si>
  <si>
    <t>Kísérők száma (fő)</t>
  </si>
  <si>
    <t>Kísérő napok száma összesen</t>
  </si>
  <si>
    <t xml:space="preserve">Kísérő: űrlapba írandó átlag napok száma </t>
  </si>
  <si>
    <t>Kísérő támogatási összeg (€)</t>
  </si>
  <si>
    <t>Kísérő személyek</t>
  </si>
  <si>
    <r>
      <t xml:space="preserve">Résztvevők száma összesen
</t>
    </r>
    <r>
      <rPr>
        <b/>
        <u/>
        <sz val="10"/>
        <color rgb="FFFF0000"/>
        <rFont val="Calibri"/>
        <family val="2"/>
        <charset val="238"/>
        <scheme val="minor"/>
      </rPr>
      <t>Kivéve kísérőszemélyek</t>
    </r>
  </si>
  <si>
    <r>
      <t xml:space="preserve">Egyéni támogatás  </t>
    </r>
    <r>
      <rPr>
        <b/>
        <u/>
        <sz val="10"/>
        <color rgb="FFFF0000"/>
        <rFont val="Calibri"/>
        <family val="2"/>
        <charset val="238"/>
        <scheme val="minor"/>
      </rPr>
      <t>Kivéve kísérőszemélyek</t>
    </r>
    <r>
      <rPr>
        <b/>
        <sz val="10"/>
        <color theme="1"/>
        <rFont val="Calibri"/>
        <family val="2"/>
        <charset val="238"/>
        <scheme val="minor"/>
      </rPr>
      <t xml:space="preserve"> (€)</t>
    </r>
  </si>
  <si>
    <t>Kísérő személyek egyéni támogatása (€)</t>
  </si>
  <si>
    <t>Segédlet kísérők napok száma</t>
  </si>
  <si>
    <t>Levonásban érintett résztvevők száma (mobilitás)</t>
  </si>
  <si>
    <t>Támogatást nem igénylő résztvevők száma</t>
  </si>
  <si>
    <t>Költségek összefoglalása</t>
  </si>
  <si>
    <t>Támogatást igénylő résztvevők száma</t>
  </si>
  <si>
    <t>Támogatást igénylő résztvevők száma összesen</t>
  </si>
  <si>
    <t>Támogatást nem igénylő résztvevők száma összesen</t>
  </si>
  <si>
    <t>Támogatás összege összesen</t>
  </si>
  <si>
    <t>Támogatás</t>
  </si>
  <si>
    <t>Résztvevőszám</t>
  </si>
  <si>
    <t>Kísérő egyéni támogatás</t>
  </si>
  <si>
    <r>
      <t xml:space="preserve">Rendkívüli támogatás </t>
    </r>
    <r>
      <rPr>
        <b/>
        <u/>
        <sz val="9"/>
        <color rgb="FFFF0000"/>
        <rFont val="Calibri"/>
        <family val="2"/>
        <charset val="238"/>
        <scheme val="minor"/>
      </rPr>
      <t>magas költségű utazás esetén</t>
    </r>
    <r>
      <rPr>
        <b/>
        <sz val="9"/>
        <color rgb="FFFF0000"/>
        <rFont val="Calibri"/>
        <family val="2"/>
        <charset val="238"/>
        <scheme val="minor"/>
      </rPr>
      <t xml:space="preserve">
</t>
    </r>
    <r>
      <rPr>
        <b/>
        <sz val="10"/>
        <color theme="1"/>
        <rFont val="Calibri"/>
        <family val="2"/>
        <charset val="238"/>
        <scheme val="minor"/>
      </rPr>
      <t>(€)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</si>
</sst>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\ _F_t_-;\-* #,##0\ _F_t_-;_-* &quot;-&quot;\ _F_t_-;_-@_-"/>
    <numFmt numFmtId="164" formatCode="#,##0\ [$€-1]"/>
    <numFmt numFmtId="165" formatCode="General\ \f\ő"/>
    <numFmt numFmtId="166" formatCode="_-* #,##0\ [$€-1]_-;\-* #,##0\ [$€-1]_-;_-* &quot;-&quot;\ [$€-1]_-;_-@_-"/>
    <numFmt numFmtId="167" formatCode="0.0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9" tint="-0.499984740745262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9" tint="-0.499984740745262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indexed="81"/>
      <name val="Calibri"/>
      <family val="2"/>
      <charset val="238"/>
      <scheme val="minor"/>
    </font>
    <font>
      <b/>
      <sz val="12"/>
      <color theme="9" tint="-0.499984740745262"/>
      <name val="Calibri"/>
      <family val="2"/>
      <charset val="238"/>
      <scheme val="minor"/>
    </font>
    <font>
      <b/>
      <sz val="11"/>
      <color theme="9" tint="-0.499984740745262"/>
      <name val="Calibri"/>
      <family val="2"/>
      <charset val="238"/>
      <scheme val="minor"/>
    </font>
    <font>
      <b/>
      <sz val="14"/>
      <color indexed="81"/>
      <name val="Calibri"/>
      <family val="2"/>
      <charset val="238"/>
      <scheme val="minor"/>
    </font>
    <font>
      <b/>
      <u/>
      <sz val="14"/>
      <color indexed="81"/>
      <name val="Calibri"/>
      <family val="2"/>
      <charset val="238"/>
      <scheme val="minor"/>
    </font>
    <font>
      <u/>
      <sz val="14"/>
      <color indexed="81"/>
      <name val="Calibri"/>
      <family val="2"/>
      <charset val="238"/>
      <scheme val="minor"/>
    </font>
    <font>
      <i/>
      <sz val="14"/>
      <color indexed="81"/>
      <name val="Calibri"/>
      <family val="2"/>
      <charset val="238"/>
      <scheme val="minor"/>
    </font>
    <font>
      <b/>
      <u/>
      <sz val="10"/>
      <color rgb="FFFF0000"/>
      <name val="Calibri"/>
      <family val="2"/>
      <charset val="238"/>
      <scheme val="minor"/>
    </font>
    <font>
      <b/>
      <u/>
      <sz val="16"/>
      <color indexed="81"/>
      <name val="Calibri"/>
      <family val="2"/>
      <charset val="238"/>
      <scheme val="minor"/>
    </font>
    <font>
      <b/>
      <sz val="14"/>
      <color theme="9" tint="-0.49998474074526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9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/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slantDashDot">
        <color rgb="FF00B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rgb="FF00B050"/>
      </right>
      <top style="thin">
        <color indexed="64"/>
      </top>
      <bottom style="mediumDashed">
        <color rgb="FFFF0000"/>
      </bottom>
      <diagonal/>
    </border>
    <border>
      <left style="slantDashDot">
        <color rgb="FF00B050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 diagonalDown="1">
      <left style="thin">
        <color indexed="64"/>
      </left>
      <right style="thin">
        <color indexed="64"/>
      </right>
      <top style="mediumDashed">
        <color rgb="FFFF0000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slantDashDot">
        <color rgb="FF00B050"/>
      </right>
      <top/>
      <bottom style="thick">
        <color indexed="64"/>
      </bottom>
      <diagonal/>
    </border>
    <border>
      <left style="thin">
        <color indexed="64"/>
      </left>
      <right style="mediumDashed">
        <color rgb="FFFF0000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Dashed">
        <color rgb="FFFF0000"/>
      </right>
      <top style="thin">
        <color indexed="64"/>
      </top>
      <bottom style="thin">
        <color indexed="64"/>
      </bottom>
      <diagonal/>
    </border>
    <border>
      <left style="mediumDashed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ck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ck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rgb="FFFF0000"/>
      </bottom>
      <diagonal/>
    </border>
    <border>
      <left/>
      <right style="slantDashDot">
        <color rgb="FF00B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9">
    <xf numFmtId="0" fontId="0" fillId="0" borderId="0" xfId="0"/>
    <xf numFmtId="164" fontId="0" fillId="0" borderId="9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0" borderId="0" xfId="0" applyFont="1"/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6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0" fillId="0" borderId="0" xfId="0" applyFont="1" applyFill="1" applyBorder="1" applyAlignment="1" applyProtection="1">
      <alignment vertical="center" wrapText="1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41" fontId="10" fillId="0" borderId="0" xfId="0" applyNumberFormat="1" applyFont="1" applyFill="1" applyAlignment="1" applyProtection="1">
      <alignment vertical="center" wrapText="1"/>
      <protection hidden="1"/>
    </xf>
    <xf numFmtId="0" fontId="5" fillId="0" borderId="0" xfId="0" applyFont="1" applyFill="1" applyProtection="1"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NumberFormat="1" applyFont="1" applyFill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left" vertical="center" wrapText="1"/>
      <protection locked="0" hidden="1"/>
    </xf>
    <xf numFmtId="0" fontId="9" fillId="0" borderId="0" xfId="0" applyFont="1" applyFill="1" applyBorder="1" applyAlignment="1" applyProtection="1">
      <alignment horizontal="center" vertical="center"/>
      <protection locked="0" hidden="1"/>
    </xf>
    <xf numFmtId="0" fontId="9" fillId="0" borderId="0" xfId="0" applyFont="1" applyFill="1" applyAlignment="1" applyProtection="1">
      <alignment horizontal="center" vertical="center" wrapText="1"/>
      <protection locked="0"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2" fillId="0" borderId="0" xfId="0" applyFont="1" applyFill="1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locked="0" hidden="1"/>
    </xf>
    <xf numFmtId="0" fontId="16" fillId="0" borderId="0" xfId="0" applyFont="1" applyFill="1" applyBorder="1" applyAlignment="1" applyProtection="1">
      <alignment horizontal="center" vertical="center" wrapText="1"/>
      <protection locked="0" hidden="1"/>
    </xf>
    <xf numFmtId="0" fontId="15" fillId="0" borderId="0" xfId="0" applyFont="1" applyFill="1" applyAlignment="1" applyProtection="1">
      <alignment horizontal="center" vertical="center"/>
      <protection locked="0" hidden="1"/>
    </xf>
    <xf numFmtId="0" fontId="3" fillId="0" borderId="1" xfId="0" applyFont="1" applyBorder="1" applyAlignment="1">
      <alignment vertical="center"/>
    </xf>
    <xf numFmtId="0" fontId="0" fillId="0" borderId="8" xfId="0" applyBorder="1"/>
    <xf numFmtId="0" fontId="0" fillId="0" borderId="5" xfId="0" applyBorder="1"/>
    <xf numFmtId="0" fontId="3" fillId="0" borderId="6" xfId="0" applyFont="1" applyBorder="1" applyAlignment="1">
      <alignment vertical="center"/>
    </xf>
    <xf numFmtId="0" fontId="17" fillId="0" borderId="0" xfId="0" applyFont="1" applyFill="1" applyAlignment="1" applyProtection="1">
      <alignment horizontal="center" vertical="center"/>
      <protection hidden="1"/>
    </xf>
    <xf numFmtId="41" fontId="18" fillId="0" borderId="0" xfId="0" applyNumberFormat="1" applyFont="1" applyFill="1" applyAlignment="1" applyProtection="1">
      <alignment vertical="center" wrapText="1"/>
      <protection hidden="1"/>
    </xf>
    <xf numFmtId="0" fontId="0" fillId="0" borderId="0" xfId="0" applyFill="1" applyBorder="1" applyProtection="1"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167" fontId="20" fillId="0" borderId="1" xfId="0" applyNumberFormat="1" applyFont="1" applyBorder="1" applyAlignment="1" applyProtection="1">
      <alignment horizontal="center" vertical="center"/>
      <protection hidden="1"/>
    </xf>
    <xf numFmtId="2" fontId="20" fillId="0" borderId="1" xfId="0" applyNumberFormat="1" applyFont="1" applyBorder="1" applyAlignment="1" applyProtection="1">
      <alignment horizontal="center" vertical="center"/>
      <protection hidden="1"/>
    </xf>
    <xf numFmtId="41" fontId="22" fillId="0" borderId="9" xfId="0" applyNumberFormat="1" applyFont="1" applyBorder="1" applyAlignment="1" applyProtection="1">
      <alignment horizontal="center" vertical="center"/>
      <protection hidden="1"/>
    </xf>
    <xf numFmtId="1" fontId="23" fillId="0" borderId="1" xfId="0" applyNumberFormat="1" applyFont="1" applyBorder="1" applyAlignment="1" applyProtection="1">
      <alignment horizontal="center" vertical="center"/>
      <protection hidden="1"/>
    </xf>
    <xf numFmtId="1" fontId="23" fillId="0" borderId="27" xfId="0" applyNumberFormat="1" applyFont="1" applyBorder="1" applyAlignment="1" applyProtection="1">
      <alignment horizontal="center" vertical="center"/>
      <protection hidden="1"/>
    </xf>
    <xf numFmtId="41" fontId="23" fillId="0" borderId="25" xfId="0" applyNumberFormat="1" applyFont="1" applyBorder="1" applyAlignment="1" applyProtection="1">
      <alignment horizontal="center" vertical="center"/>
      <protection hidden="1"/>
    </xf>
    <xf numFmtId="41" fontId="23" fillId="0" borderId="26" xfId="0" applyNumberFormat="1" applyFont="1" applyBorder="1" applyAlignment="1" applyProtection="1">
      <alignment horizontal="center" vertical="center"/>
      <protection hidden="1"/>
    </xf>
    <xf numFmtId="1" fontId="23" fillId="0" borderId="24" xfId="0" applyNumberFormat="1" applyFont="1" applyBorder="1" applyAlignment="1" applyProtection="1">
      <alignment horizontal="center" vertical="center"/>
      <protection hidden="1"/>
    </xf>
    <xf numFmtId="1" fontId="23" fillId="0" borderId="28" xfId="0" applyNumberFormat="1" applyFont="1" applyBorder="1" applyAlignment="1" applyProtection="1">
      <alignment horizontal="center" vertical="center"/>
      <protection hidden="1"/>
    </xf>
    <xf numFmtId="41" fontId="23" fillId="0" borderId="9" xfId="0" applyNumberFormat="1" applyFont="1" applyBorder="1" applyAlignment="1" applyProtection="1">
      <alignment horizontal="center" vertical="center"/>
      <protection hidden="1"/>
    </xf>
    <xf numFmtId="0" fontId="13" fillId="9" borderId="24" xfId="0" applyFont="1" applyFill="1" applyBorder="1" applyAlignment="1" applyProtection="1">
      <alignment horizontal="center" vertical="center" wrapText="1"/>
      <protection hidden="1"/>
    </xf>
    <xf numFmtId="0" fontId="13" fillId="9" borderId="30" xfId="0" applyFont="1" applyFill="1" applyBorder="1" applyAlignment="1" applyProtection="1">
      <alignment horizontal="center" vertical="center" wrapText="1"/>
      <protection hidden="1"/>
    </xf>
    <xf numFmtId="0" fontId="6" fillId="6" borderId="1" xfId="0" applyFont="1" applyFill="1" applyBorder="1" applyAlignment="1" applyProtection="1">
      <alignment horizontal="center" vertical="center" wrapText="1"/>
      <protection hidden="1"/>
    </xf>
    <xf numFmtId="0" fontId="8" fillId="6" borderId="1" xfId="1" applyFont="1" applyFill="1" applyBorder="1" applyAlignment="1" applyProtection="1">
      <alignment horizontal="center" vertical="center" wrapText="1"/>
      <protection hidden="1"/>
    </xf>
    <xf numFmtId="0" fontId="13" fillId="9" borderId="9" xfId="0" applyFont="1" applyFill="1" applyBorder="1" applyAlignment="1" applyProtection="1">
      <alignment horizontal="center" vertical="center" wrapText="1"/>
      <protection hidden="1"/>
    </xf>
    <xf numFmtId="0" fontId="13" fillId="7" borderId="8" xfId="0" applyFont="1" applyFill="1" applyBorder="1" applyAlignment="1" applyProtection="1">
      <alignment horizontal="left" vertical="center" wrapText="1"/>
      <protection hidden="1"/>
    </xf>
    <xf numFmtId="0" fontId="13" fillId="7" borderId="8" xfId="0" applyFont="1" applyFill="1" applyBorder="1" applyAlignment="1" applyProtection="1">
      <alignment horizontal="left" vertical="center"/>
      <protection hidden="1"/>
    </xf>
    <xf numFmtId="0" fontId="13" fillId="8" borderId="24" xfId="0" applyFont="1" applyFill="1" applyBorder="1" applyAlignment="1" applyProtection="1">
      <alignment horizontal="center" vertical="center" wrapText="1"/>
      <protection hidden="1"/>
    </xf>
    <xf numFmtId="0" fontId="13" fillId="8" borderId="1" xfId="0" applyFont="1" applyFill="1" applyBorder="1" applyAlignment="1" applyProtection="1">
      <alignment horizontal="center" vertical="center" wrapText="1"/>
      <protection hidden="1"/>
    </xf>
    <xf numFmtId="0" fontId="13" fillId="8" borderId="25" xfId="0" applyFont="1" applyFill="1" applyBorder="1" applyAlignment="1" applyProtection="1">
      <alignment horizontal="center" vertical="center" wrapText="1"/>
      <protection hidden="1"/>
    </xf>
    <xf numFmtId="1" fontId="23" fillId="0" borderId="32" xfId="0" applyNumberFormat="1" applyFont="1" applyBorder="1" applyAlignment="1" applyProtection="1">
      <alignment horizontal="center" vertical="center"/>
      <protection hidden="1"/>
    </xf>
    <xf numFmtId="41" fontId="23" fillId="0" borderId="30" xfId="0" applyNumberFormat="1" applyFont="1" applyBorder="1" applyAlignment="1" applyProtection="1">
      <alignment horizontal="center" vertical="center"/>
      <protection hidden="1"/>
    </xf>
    <xf numFmtId="41" fontId="23" fillId="0" borderId="31" xfId="0" applyNumberFormat="1" applyFont="1" applyBorder="1" applyAlignment="1" applyProtection="1">
      <alignment horizontal="center" vertical="center"/>
      <protection hidden="1"/>
    </xf>
    <xf numFmtId="41" fontId="23" fillId="0" borderId="33" xfId="0" applyNumberFormat="1" applyFont="1" applyBorder="1" applyAlignment="1" applyProtection="1">
      <alignment horizontal="center" vertical="center"/>
      <protection hidden="1"/>
    </xf>
    <xf numFmtId="41" fontId="23" fillId="0" borderId="34" xfId="0" applyNumberFormat="1" applyFont="1" applyBorder="1" applyAlignment="1" applyProtection="1">
      <alignment horizontal="center" vertical="center"/>
      <protection hidden="1"/>
    </xf>
    <xf numFmtId="0" fontId="13" fillId="8" borderId="33" xfId="0" applyFont="1" applyFill="1" applyBorder="1" applyAlignment="1" applyProtection="1">
      <alignment horizontal="center" vertical="center" wrapText="1"/>
      <protection hidden="1"/>
    </xf>
    <xf numFmtId="1" fontId="23" fillId="0" borderId="35" xfId="0" applyNumberFormat="1" applyFont="1" applyBorder="1" applyAlignment="1" applyProtection="1">
      <alignment horizontal="center" vertical="center"/>
      <protection hidden="1"/>
    </xf>
    <xf numFmtId="41" fontId="23" fillId="0" borderId="37" xfId="0" applyNumberFormat="1" applyFont="1" applyBorder="1" applyAlignment="1" applyProtection="1">
      <alignment horizontal="center" vertical="center"/>
      <protection hidden="1"/>
    </xf>
    <xf numFmtId="41" fontId="23" fillId="0" borderId="38" xfId="0" applyNumberFormat="1" applyFont="1" applyBorder="1" applyAlignment="1" applyProtection="1">
      <alignment horizontal="center" vertical="center"/>
      <protection hidden="1"/>
    </xf>
    <xf numFmtId="1" fontId="23" fillId="0" borderId="39" xfId="0" applyNumberFormat="1" applyFont="1" applyBorder="1" applyAlignment="1" applyProtection="1">
      <alignment horizontal="center" vertical="center"/>
      <protection hidden="1"/>
    </xf>
    <xf numFmtId="41" fontId="23" fillId="0" borderId="40" xfId="0" applyNumberFormat="1" applyFont="1" applyBorder="1" applyAlignment="1" applyProtection="1">
      <alignment horizontal="center" vertical="center"/>
      <protection hidden="1"/>
    </xf>
    <xf numFmtId="0" fontId="13" fillId="7" borderId="41" xfId="0" applyFont="1" applyFill="1" applyBorder="1" applyAlignment="1" applyProtection="1">
      <alignment horizontal="center" vertical="center" wrapText="1"/>
      <protection hidden="1"/>
    </xf>
    <xf numFmtId="0" fontId="13" fillId="7" borderId="42" xfId="0" applyFont="1" applyFill="1" applyBorder="1" applyAlignment="1" applyProtection="1">
      <alignment horizontal="center" vertical="center" wrapText="1"/>
      <protection hidden="1"/>
    </xf>
    <xf numFmtId="0" fontId="13" fillId="7" borderId="43" xfId="0" applyFont="1" applyFill="1" applyBorder="1" applyAlignment="1" applyProtection="1">
      <alignment horizontal="right" vertical="center" wrapText="1"/>
      <protection hidden="1"/>
    </xf>
    <xf numFmtId="0" fontId="13" fillId="9" borderId="1" xfId="0" applyFont="1" applyFill="1" applyBorder="1" applyAlignment="1" applyProtection="1">
      <alignment horizontal="center" vertical="center" wrapText="1"/>
      <protection hidden="1"/>
    </xf>
    <xf numFmtId="0" fontId="1" fillId="4" borderId="10" xfId="0" applyFont="1" applyFill="1" applyBorder="1" applyAlignment="1">
      <alignment horizontal="center" vertical="center" wrapText="1"/>
    </xf>
    <xf numFmtId="41" fontId="22" fillId="0" borderId="1" xfId="0" applyNumberFormat="1" applyFont="1" applyBorder="1" applyAlignment="1" applyProtection="1">
      <alignment horizontal="center" vertical="center"/>
      <protection hidden="1"/>
    </xf>
    <xf numFmtId="0" fontId="13" fillId="7" borderId="47" xfId="0" applyFont="1" applyFill="1" applyBorder="1" applyProtection="1">
      <protection hidden="1"/>
    </xf>
    <xf numFmtId="1" fontId="23" fillId="11" borderId="36" xfId="0" applyNumberFormat="1" applyFont="1" applyFill="1" applyBorder="1" applyAlignment="1" applyProtection="1">
      <alignment horizontal="center" vertical="center"/>
      <protection hidden="1"/>
    </xf>
    <xf numFmtId="41" fontId="22" fillId="11" borderId="1" xfId="0" applyNumberFormat="1" applyFont="1" applyFill="1" applyBorder="1" applyAlignment="1" applyProtection="1">
      <alignment horizontal="center" vertical="center"/>
      <protection hidden="1"/>
    </xf>
    <xf numFmtId="0" fontId="13" fillId="7" borderId="8" xfId="0" applyFont="1" applyFill="1" applyBorder="1" applyProtection="1">
      <protection hidden="1"/>
    </xf>
    <xf numFmtId="0" fontId="13" fillId="8" borderId="8" xfId="0" applyFont="1" applyFill="1" applyBorder="1" applyAlignment="1" applyProtection="1">
      <alignment horizontal="left" vertical="center" wrapText="1"/>
      <protection hidden="1"/>
    </xf>
    <xf numFmtId="41" fontId="22" fillId="0" borderId="25" xfId="0" applyNumberFormat="1" applyFont="1" applyBorder="1" applyAlignment="1" applyProtection="1">
      <alignment horizontal="center" vertical="center"/>
      <protection hidden="1"/>
    </xf>
    <xf numFmtId="0" fontId="13" fillId="9" borderId="25" xfId="0" applyFont="1" applyFill="1" applyBorder="1" applyAlignment="1" applyProtection="1">
      <alignment horizontal="center" vertical="center" wrapText="1"/>
      <protection hidden="1"/>
    </xf>
    <xf numFmtId="41" fontId="31" fillId="0" borderId="25" xfId="0" applyNumberFormat="1" applyFont="1" applyBorder="1" applyAlignment="1" applyProtection="1">
      <alignment horizontal="center" vertical="center"/>
      <protection hidden="1"/>
    </xf>
    <xf numFmtId="0" fontId="13" fillId="7" borderId="61" xfId="0" applyFont="1" applyFill="1" applyBorder="1" applyAlignment="1" applyProtection="1">
      <alignment horizontal="right" vertical="center"/>
      <protection hidden="1"/>
    </xf>
    <xf numFmtId="166" fontId="30" fillId="0" borderId="62" xfId="0" applyNumberFormat="1" applyFont="1" applyBorder="1" applyAlignment="1" applyProtection="1">
      <alignment horizontal="center" vertical="center"/>
      <protection hidden="1"/>
    </xf>
    <xf numFmtId="165" fontId="30" fillId="0" borderId="62" xfId="0" applyNumberFormat="1" applyFont="1" applyBorder="1" applyAlignment="1" applyProtection="1">
      <alignment horizontal="center" vertical="center"/>
      <protection hidden="1"/>
    </xf>
    <xf numFmtId="166" fontId="30" fillId="0" borderId="63" xfId="0" applyNumberFormat="1" applyFont="1" applyBorder="1" applyAlignment="1" applyProtection="1">
      <alignment horizontal="center" vertical="center"/>
      <protection hidden="1"/>
    </xf>
    <xf numFmtId="41" fontId="22" fillId="0" borderId="24" xfId="0" applyNumberFormat="1" applyFont="1" applyBorder="1" applyAlignment="1" applyProtection="1">
      <alignment horizontal="center" vertical="center"/>
      <protection hidden="1"/>
    </xf>
    <xf numFmtId="41" fontId="22" fillId="0" borderId="30" xfId="0" applyNumberFormat="1" applyFont="1" applyBorder="1" applyAlignment="1" applyProtection="1">
      <alignment horizontal="center" vertical="center"/>
      <protection hidden="1"/>
    </xf>
    <xf numFmtId="41" fontId="31" fillId="0" borderId="30" xfId="0" applyNumberFormat="1" applyFont="1" applyBorder="1" applyAlignment="1" applyProtection="1">
      <alignment horizontal="center" vertical="center"/>
      <protection hidden="1"/>
    </xf>
    <xf numFmtId="0" fontId="13" fillId="7" borderId="64" xfId="0" applyFont="1" applyFill="1" applyBorder="1" applyAlignment="1" applyProtection="1">
      <alignment horizontal="left" vertical="center" wrapText="1"/>
      <protection hidden="1"/>
    </xf>
    <xf numFmtId="41" fontId="31" fillId="0" borderId="31" xfId="0" applyNumberFormat="1" applyFont="1" applyBorder="1" applyAlignment="1" applyProtection="1">
      <alignment horizontal="center" vertical="center"/>
      <protection hidden="1"/>
    </xf>
    <xf numFmtId="41" fontId="31" fillId="0" borderId="26" xfId="0" applyNumberFormat="1" applyFont="1" applyBorder="1" applyAlignment="1" applyProtection="1">
      <alignment horizontal="center" vertical="center"/>
      <protection hidden="1"/>
    </xf>
    <xf numFmtId="41" fontId="22" fillId="0" borderId="65" xfId="0" applyNumberFormat="1" applyFont="1" applyBorder="1" applyAlignment="1" applyProtection="1">
      <alignment horizontal="center" vertical="center"/>
      <protection hidden="1"/>
    </xf>
    <xf numFmtId="41" fontId="22" fillId="11" borderId="59" xfId="0" applyNumberFormat="1" applyFont="1" applyFill="1" applyBorder="1" applyAlignment="1" applyProtection="1">
      <alignment horizontal="center" vertical="center"/>
      <protection hidden="1"/>
    </xf>
    <xf numFmtId="41" fontId="22" fillId="11" borderId="60" xfId="0" applyNumberFormat="1" applyFont="1" applyFill="1" applyBorder="1" applyAlignment="1" applyProtection="1">
      <alignment horizontal="center" vertical="center"/>
      <protection hidden="1"/>
    </xf>
    <xf numFmtId="41" fontId="22" fillId="11" borderId="30" xfId="0" applyNumberFormat="1" applyFont="1" applyFill="1" applyBorder="1" applyAlignment="1" applyProtection="1">
      <alignment horizontal="center" vertical="center"/>
      <protection hidden="1"/>
    </xf>
    <xf numFmtId="41" fontId="22" fillId="11" borderId="24" xfId="0" applyNumberFormat="1" applyFont="1" applyFill="1" applyBorder="1" applyAlignment="1" applyProtection="1">
      <alignment horizontal="center" vertical="center"/>
      <protection hidden="1"/>
    </xf>
    <xf numFmtId="41" fontId="22" fillId="11" borderId="25" xfId="0" applyNumberFormat="1" applyFont="1" applyFill="1" applyBorder="1" applyAlignment="1" applyProtection="1">
      <alignment horizontal="center" vertical="center"/>
      <protection hidden="1"/>
    </xf>
    <xf numFmtId="41" fontId="22" fillId="11" borderId="27" xfId="0" applyNumberFormat="1" applyFont="1" applyFill="1" applyBorder="1" applyAlignment="1" applyProtection="1">
      <alignment horizontal="center" vertical="center"/>
      <protection hidden="1"/>
    </xf>
    <xf numFmtId="41" fontId="22" fillId="11" borderId="28" xfId="0" applyNumberFormat="1" applyFont="1" applyFill="1" applyBorder="1" applyAlignment="1" applyProtection="1">
      <alignment horizontal="center" vertical="center"/>
      <protection hidden="1"/>
    </xf>
    <xf numFmtId="0" fontId="13" fillId="10" borderId="1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locked="0" hidden="1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 applyProtection="1">
      <alignment horizontal="center" vertical="center"/>
      <protection hidden="1"/>
    </xf>
    <xf numFmtId="0" fontId="1" fillId="3" borderId="17" xfId="0" applyFont="1" applyFill="1" applyBorder="1" applyAlignment="1" applyProtection="1">
      <alignment horizontal="center" vertical="center"/>
      <protection hidden="1"/>
    </xf>
    <xf numFmtId="0" fontId="1" fillId="3" borderId="18" xfId="0" applyFont="1" applyFill="1" applyBorder="1" applyAlignment="1" applyProtection="1">
      <alignment horizontal="center" vertical="center"/>
      <protection hidden="1"/>
    </xf>
    <xf numFmtId="0" fontId="1" fillId="3" borderId="19" xfId="0" applyFont="1" applyFill="1" applyBorder="1" applyAlignment="1" applyProtection="1">
      <alignment horizontal="center" vertical="center"/>
      <protection hidden="1"/>
    </xf>
    <xf numFmtId="0" fontId="1" fillId="3" borderId="0" xfId="0" applyFont="1" applyFill="1" applyBorder="1" applyAlignment="1" applyProtection="1">
      <alignment horizontal="center" vertical="center"/>
      <protection hidden="1"/>
    </xf>
    <xf numFmtId="0" fontId="1" fillId="3" borderId="20" xfId="0" applyFont="1" applyFill="1" applyBorder="1" applyAlignment="1" applyProtection="1">
      <alignment horizontal="center" vertical="center"/>
      <protection hidden="1"/>
    </xf>
    <xf numFmtId="0" fontId="1" fillId="3" borderId="21" xfId="0" applyFont="1" applyFill="1" applyBorder="1" applyAlignment="1" applyProtection="1">
      <alignment horizontal="center" vertical="center"/>
      <protection hidden="1"/>
    </xf>
    <xf numFmtId="0" fontId="1" fillId="3" borderId="22" xfId="0" applyFont="1" applyFill="1" applyBorder="1" applyAlignment="1" applyProtection="1">
      <alignment horizontal="center" vertical="center"/>
      <protection hidden="1"/>
    </xf>
    <xf numFmtId="0" fontId="1" fillId="3" borderId="23" xfId="0" applyFont="1" applyFill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2" fillId="3" borderId="19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2" fillId="3" borderId="20" xfId="0" applyFont="1" applyFill="1" applyBorder="1" applyAlignment="1" applyProtection="1">
      <alignment horizontal="center" vertical="center"/>
      <protection hidden="1"/>
    </xf>
    <xf numFmtId="0" fontId="2" fillId="3" borderId="21" xfId="0" applyFont="1" applyFill="1" applyBorder="1" applyAlignment="1" applyProtection="1">
      <alignment horizontal="center" vertical="center"/>
      <protection hidden="1"/>
    </xf>
    <xf numFmtId="0" fontId="2" fillId="3" borderId="22" xfId="0" applyFont="1" applyFill="1" applyBorder="1" applyAlignment="1" applyProtection="1">
      <alignment horizontal="center" vertical="center"/>
      <protection hidden="1"/>
    </xf>
    <xf numFmtId="0" fontId="2" fillId="3" borderId="23" xfId="0" applyFont="1" applyFill="1" applyBorder="1" applyAlignment="1" applyProtection="1">
      <alignment horizontal="center" vertical="center"/>
      <protection hidden="1"/>
    </xf>
    <xf numFmtId="0" fontId="12" fillId="5" borderId="16" xfId="0" applyFont="1" applyFill="1" applyBorder="1" applyAlignment="1" applyProtection="1">
      <alignment horizontal="center" vertical="center" wrapText="1"/>
      <protection hidden="1"/>
    </xf>
    <xf numFmtId="0" fontId="12" fillId="5" borderId="17" xfId="0" applyFont="1" applyFill="1" applyBorder="1" applyAlignment="1" applyProtection="1">
      <alignment horizontal="center" vertical="center" wrapText="1"/>
      <protection hidden="1"/>
    </xf>
    <xf numFmtId="0" fontId="12" fillId="5" borderId="18" xfId="0" applyFont="1" applyFill="1" applyBorder="1" applyAlignment="1" applyProtection="1">
      <alignment horizontal="center" vertical="center" wrapText="1"/>
      <protection hidden="1"/>
    </xf>
    <xf numFmtId="0" fontId="12" fillId="5" borderId="19" xfId="0" applyFont="1" applyFill="1" applyBorder="1" applyAlignment="1" applyProtection="1">
      <alignment horizontal="center" vertical="center" wrapText="1"/>
      <protection hidden="1"/>
    </xf>
    <xf numFmtId="0" fontId="12" fillId="5" borderId="0" xfId="0" applyFont="1" applyFill="1" applyBorder="1" applyAlignment="1" applyProtection="1">
      <alignment horizontal="center" vertical="center" wrapText="1"/>
      <protection hidden="1"/>
    </xf>
    <xf numFmtId="0" fontId="12" fillId="5" borderId="20" xfId="0" applyFont="1" applyFill="1" applyBorder="1" applyAlignment="1" applyProtection="1">
      <alignment horizontal="center" vertical="center" wrapText="1"/>
      <protection hidden="1"/>
    </xf>
    <xf numFmtId="0" fontId="12" fillId="5" borderId="21" xfId="0" applyFont="1" applyFill="1" applyBorder="1" applyAlignment="1" applyProtection="1">
      <alignment horizontal="center" vertical="center" wrapText="1"/>
      <protection hidden="1"/>
    </xf>
    <xf numFmtId="0" fontId="12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41" fontId="22" fillId="0" borderId="58" xfId="0" applyNumberFormat="1" applyFont="1" applyBorder="1" applyAlignment="1" applyProtection="1">
      <alignment horizontal="center" vertical="center"/>
      <protection hidden="1"/>
    </xf>
    <xf numFmtId="41" fontId="22" fillId="0" borderId="67" xfId="0" applyNumberFormat="1" applyFont="1" applyBorder="1" applyAlignment="1" applyProtection="1">
      <alignment horizontal="center" vertical="center"/>
      <protection hidden="1"/>
    </xf>
    <xf numFmtId="0" fontId="13" fillId="7" borderId="1" xfId="0" applyFont="1" applyFill="1" applyBorder="1" applyAlignment="1" applyProtection="1">
      <alignment horizontal="center" vertical="center" wrapText="1"/>
      <protection hidden="1"/>
    </xf>
    <xf numFmtId="0" fontId="13" fillId="7" borderId="68" xfId="0" applyFont="1" applyFill="1" applyBorder="1" applyAlignment="1" applyProtection="1">
      <alignment horizontal="center" vertical="center" wrapText="1"/>
      <protection hidden="1"/>
    </xf>
    <xf numFmtId="0" fontId="13" fillId="7" borderId="69" xfId="0" applyFont="1" applyFill="1" applyBorder="1" applyAlignment="1" applyProtection="1">
      <alignment horizontal="center" vertical="center" wrapText="1"/>
      <protection hidden="1"/>
    </xf>
    <xf numFmtId="0" fontId="13" fillId="7" borderId="44" xfId="0" applyFont="1" applyFill="1" applyBorder="1" applyAlignment="1" applyProtection="1">
      <alignment horizontal="center" vertical="center" wrapText="1"/>
      <protection hidden="1"/>
    </xf>
    <xf numFmtId="0" fontId="13" fillId="7" borderId="66" xfId="0" applyFont="1" applyFill="1" applyBorder="1" applyAlignment="1" applyProtection="1">
      <alignment horizontal="center" vertical="center" wrapText="1"/>
      <protection hidden="1"/>
    </xf>
    <xf numFmtId="0" fontId="13" fillId="7" borderId="51" xfId="0" applyFont="1" applyFill="1" applyBorder="1" applyAlignment="1" applyProtection="1">
      <alignment horizontal="center" vertical="center" wrapText="1"/>
      <protection hidden="1"/>
    </xf>
    <xf numFmtId="0" fontId="13" fillId="7" borderId="52" xfId="0" applyFont="1" applyFill="1" applyBorder="1" applyAlignment="1" applyProtection="1">
      <alignment horizontal="center" vertical="center" wrapText="1"/>
      <protection hidden="1"/>
    </xf>
    <xf numFmtId="0" fontId="14" fillId="7" borderId="2" xfId="0" applyFont="1" applyFill="1" applyBorder="1" applyAlignment="1" applyProtection="1">
      <alignment horizontal="center" vertical="center" wrapText="1"/>
      <protection hidden="1"/>
    </xf>
    <xf numFmtId="0" fontId="14" fillId="7" borderId="3" xfId="0" applyFont="1" applyFill="1" applyBorder="1" applyAlignment="1" applyProtection="1">
      <alignment horizontal="center" vertical="center" wrapText="1"/>
      <protection hidden="1"/>
    </xf>
    <xf numFmtId="0" fontId="14" fillId="7" borderId="70" xfId="0" applyFont="1" applyFill="1" applyBorder="1" applyAlignment="1" applyProtection="1">
      <alignment horizontal="center" vertical="center" wrapText="1"/>
      <protection hidden="1"/>
    </xf>
    <xf numFmtId="0" fontId="14" fillId="7" borderId="4" xfId="0" applyFont="1" applyFill="1" applyBorder="1" applyAlignment="1" applyProtection="1">
      <alignment horizontal="center" vertical="center" wrapText="1"/>
      <protection hidden="1"/>
    </xf>
    <xf numFmtId="0" fontId="19" fillId="7" borderId="2" xfId="0" applyFont="1" applyFill="1" applyBorder="1" applyAlignment="1" applyProtection="1">
      <alignment horizontal="center" vertical="center" wrapText="1"/>
      <protection hidden="1"/>
    </xf>
    <xf numFmtId="0" fontId="19" fillId="7" borderId="3" xfId="0" applyFont="1" applyFill="1" applyBorder="1" applyAlignment="1" applyProtection="1">
      <alignment horizontal="center" vertical="center" wrapText="1"/>
      <protection hidden="1"/>
    </xf>
    <xf numFmtId="0" fontId="19" fillId="7" borderId="4" xfId="0" applyFont="1" applyFill="1" applyBorder="1" applyAlignment="1" applyProtection="1">
      <alignment horizontal="center" vertical="center" wrapText="1"/>
      <protection hidden="1"/>
    </xf>
    <xf numFmtId="0" fontId="12" fillId="0" borderId="8" xfId="0" applyFont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 applyProtection="1">
      <alignment horizontal="center" vertical="top" wrapText="1"/>
      <protection locked="0"/>
    </xf>
    <xf numFmtId="0" fontId="12" fillId="0" borderId="57" xfId="0" applyFont="1" applyBorder="1" applyAlignment="1" applyProtection="1">
      <alignment horizontal="center" vertical="top" wrapText="1"/>
      <protection locked="0"/>
    </xf>
    <xf numFmtId="0" fontId="12" fillId="0" borderId="29" xfId="0" applyFont="1" applyBorder="1" applyAlignment="1" applyProtection="1">
      <alignment horizontal="center" vertical="top" wrapText="1"/>
      <protection locked="0"/>
    </xf>
    <xf numFmtId="0" fontId="12" fillId="0" borderId="58" xfId="0" applyFont="1" applyBorder="1" applyAlignment="1" applyProtection="1">
      <alignment horizontal="center" vertical="top" wrapText="1"/>
      <protection locked="0"/>
    </xf>
    <xf numFmtId="0" fontId="12" fillId="0" borderId="5" xfId="0" applyFont="1" applyBorder="1" applyAlignment="1" applyProtection="1">
      <alignment horizontal="center" vertical="top" wrapText="1"/>
      <protection locked="0"/>
    </xf>
    <xf numFmtId="0" fontId="12" fillId="0" borderId="6" xfId="0" applyFont="1" applyBorder="1" applyAlignment="1" applyProtection="1">
      <alignment horizontal="center" vertical="top" wrapText="1"/>
      <protection locked="0"/>
    </xf>
    <xf numFmtId="0" fontId="12" fillId="0" borderId="7" xfId="0" applyFont="1" applyBorder="1" applyAlignment="1" applyProtection="1">
      <alignment horizontal="center" vertical="top" wrapText="1"/>
      <protection locked="0"/>
    </xf>
    <xf numFmtId="0" fontId="13" fillId="10" borderId="44" xfId="0" applyFont="1" applyFill="1" applyBorder="1" applyAlignment="1" applyProtection="1">
      <alignment horizontal="center" vertical="center" wrapText="1"/>
      <protection hidden="1"/>
    </xf>
    <xf numFmtId="0" fontId="13" fillId="10" borderId="24" xfId="0" applyFont="1" applyFill="1" applyBorder="1" applyAlignment="1" applyProtection="1">
      <alignment horizontal="center" vertical="center" wrapText="1"/>
      <protection hidden="1"/>
    </xf>
    <xf numFmtId="0" fontId="13" fillId="10" borderId="8" xfId="0" applyFont="1" applyFill="1" applyBorder="1" applyAlignment="1" applyProtection="1">
      <alignment horizontal="center" vertical="center" wrapText="1"/>
      <protection hidden="1"/>
    </xf>
    <xf numFmtId="0" fontId="13" fillId="10" borderId="1" xfId="0" applyFont="1" applyFill="1" applyBorder="1" applyAlignment="1" applyProtection="1">
      <alignment horizontal="center" vertical="center" wrapText="1"/>
      <protection hidden="1"/>
    </xf>
    <xf numFmtId="0" fontId="12" fillId="0" borderId="8" xfId="0" applyFont="1" applyFill="1" applyBorder="1" applyAlignment="1" applyProtection="1">
      <alignment horizontal="center" vertical="center" wrapText="1"/>
      <protection locked="0" hidden="1"/>
    </xf>
    <xf numFmtId="0" fontId="12" fillId="0" borderId="1" xfId="0" applyFont="1" applyFill="1" applyBorder="1" applyAlignment="1" applyProtection="1">
      <alignment horizontal="center" vertical="center" wrapText="1"/>
      <protection locked="0" hidden="1"/>
    </xf>
    <xf numFmtId="0" fontId="12" fillId="0" borderId="45" xfId="0" applyFont="1" applyFill="1" applyBorder="1" applyAlignment="1" applyProtection="1">
      <alignment horizontal="center" vertical="center" wrapText="1"/>
      <protection locked="0" hidden="1"/>
    </xf>
    <xf numFmtId="0" fontId="12" fillId="0" borderId="46" xfId="0" applyFont="1" applyFill="1" applyBorder="1" applyAlignment="1" applyProtection="1">
      <alignment horizontal="center" vertical="center" wrapText="1"/>
      <protection locked="0" hidden="1"/>
    </xf>
    <xf numFmtId="0" fontId="14" fillId="7" borderId="48" xfId="0" applyFont="1" applyFill="1" applyBorder="1" applyAlignment="1" applyProtection="1">
      <alignment horizontal="center" vertical="center" wrapText="1"/>
      <protection hidden="1"/>
    </xf>
    <xf numFmtId="0" fontId="14" fillId="7" borderId="49" xfId="0" applyFont="1" applyFill="1" applyBorder="1" applyAlignment="1" applyProtection="1">
      <alignment horizontal="center" vertical="center" wrapText="1"/>
      <protection hidden="1"/>
    </xf>
    <xf numFmtId="0" fontId="14" fillId="7" borderId="50" xfId="0" applyFont="1" applyFill="1" applyBorder="1" applyAlignment="1" applyProtection="1">
      <alignment horizontal="center" vertical="center" wrapText="1"/>
      <protection hidden="1"/>
    </xf>
    <xf numFmtId="0" fontId="19" fillId="7" borderId="44" xfId="0" applyFont="1" applyFill="1" applyBorder="1" applyAlignment="1" applyProtection="1">
      <alignment horizontal="center" vertical="center" wrapText="1"/>
      <protection hidden="1"/>
    </xf>
    <xf numFmtId="0" fontId="19" fillId="7" borderId="51" xfId="0" applyFont="1" applyFill="1" applyBorder="1" applyAlignment="1" applyProtection="1">
      <alignment horizontal="center" vertical="center" wrapText="1"/>
      <protection hidden="1"/>
    </xf>
    <xf numFmtId="0" fontId="19" fillId="7" borderId="52" xfId="0" applyFont="1" applyFill="1" applyBorder="1" applyAlignment="1" applyProtection="1">
      <alignment horizontal="center" vertical="center" wrapText="1"/>
      <protection hidden="1"/>
    </xf>
    <xf numFmtId="0" fontId="19" fillId="7" borderId="53" xfId="0" applyFont="1" applyFill="1" applyBorder="1" applyAlignment="1" applyProtection="1">
      <alignment horizontal="center" vertical="center" wrapText="1"/>
      <protection hidden="1"/>
    </xf>
    <xf numFmtId="0" fontId="19" fillId="7" borderId="54" xfId="0" applyFont="1" applyFill="1" applyBorder="1" applyAlignment="1" applyProtection="1">
      <alignment horizontal="center" vertical="center" wrapText="1"/>
      <protection hidden="1"/>
    </xf>
    <xf numFmtId="0" fontId="13" fillId="7" borderId="55" xfId="0" applyFont="1" applyFill="1" applyBorder="1" applyAlignment="1" applyProtection="1">
      <alignment horizontal="center"/>
      <protection hidden="1"/>
    </xf>
    <xf numFmtId="0" fontId="13" fillId="7" borderId="56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450351</xdr:colOff>
      <xdr:row>0</xdr:row>
      <xdr:rowOff>124791</xdr:rowOff>
    </xdr:from>
    <xdr:to>
      <xdr:col>26</xdr:col>
      <xdr:colOff>928358</xdr:colOff>
      <xdr:row>7</xdr:row>
      <xdr:rowOff>706694</xdr:rowOff>
    </xdr:to>
    <xdr:sp macro="" textlink="">
      <xdr:nvSpPr>
        <xdr:cNvPr id="2" name="Ellipszis buborék 1"/>
        <xdr:cNvSpPr/>
      </xdr:nvSpPr>
      <xdr:spPr>
        <a:xfrm>
          <a:off x="17518536" y="124791"/>
          <a:ext cx="5148330" cy="2148919"/>
        </a:xfrm>
        <a:prstGeom prst="wedgeEllipseCallout">
          <a:avLst/>
        </a:prstGeom>
        <a:solidFill>
          <a:sysClr val="window" lastClr="FFFFFF"/>
        </a:solidFill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500" b="0">
              <a:solidFill>
                <a:sysClr val="windowText" lastClr="000000"/>
              </a:solidFill>
            </a:rPr>
            <a:t>Egy főre naponta</a:t>
          </a:r>
          <a:r>
            <a:rPr lang="hu-HU" sz="1500" b="0" baseline="0">
              <a:solidFill>
                <a:sysClr val="windowText" lastClr="000000"/>
              </a:solidFill>
            </a:rPr>
            <a:t> 70 euró</a:t>
          </a:r>
          <a:r>
            <a:rPr lang="hu-HU" sz="1500" b="0">
              <a:solidFill>
                <a:sysClr val="windowText" lastClr="000000"/>
              </a:solidFill>
            </a:rPr>
            <a:t>, de maximálisan csak 700 euró igényelhető! Amennyiben 1 munkatárs több mobilitásban is részt vesz, a 700 euró feletti rész az ő esetében a végösszegből levonandó!  </a:t>
          </a:r>
          <a:r>
            <a:rPr lang="hu-HU" sz="1500" b="1">
              <a:solidFill>
                <a:srgbClr val="FF0000"/>
              </a:solidFill>
            </a:rPr>
            <a:t>Kurzusdíj napok száma = Munkanapok számával!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c.europa.eu/programmes/erasmus-plus/resources/distance-calculator_en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1">
    <tabColor rgb="FF92D050"/>
    <pageSetUpPr fitToPage="1"/>
  </sheetPr>
  <dimension ref="A1:T116"/>
  <sheetViews>
    <sheetView tabSelected="1" zoomScale="85" zoomScaleNormal="85" zoomScaleSheetLayoutView="80" workbookViewId="0">
      <selection activeCell="N9" sqref="N9"/>
    </sheetView>
  </sheetViews>
  <sheetFormatPr defaultColWidth="9.140625" defaultRowHeight="12.75" x14ac:dyDescent="0.2"/>
  <cols>
    <col min="1" max="1" width="5.7109375" style="17" customWidth="1"/>
    <col min="2" max="2" width="23.7109375" style="20" customWidth="1"/>
    <col min="3" max="3" width="17.5703125" style="20" bestFit="1" customWidth="1"/>
    <col min="4" max="4" width="15.28515625" style="20" customWidth="1"/>
    <col min="5" max="5" width="14.7109375" style="18" customWidth="1"/>
    <col min="6" max="6" width="11.42578125" style="18" customWidth="1"/>
    <col min="7" max="7" width="13.5703125" style="18" customWidth="1"/>
    <col min="8" max="9" width="16.140625" style="18" customWidth="1"/>
    <col min="10" max="10" width="11.7109375" style="18" customWidth="1"/>
    <col min="11" max="12" width="14.5703125" style="18" customWidth="1"/>
    <col min="13" max="13" width="12.28515625" style="18" bestFit="1" customWidth="1"/>
    <col min="14" max="14" width="10.140625" style="18" customWidth="1"/>
    <col min="15" max="15" width="11" style="18" customWidth="1"/>
    <col min="16" max="16" width="14.85546875" style="18" customWidth="1"/>
    <col min="17" max="17" width="10.5703125" style="18" customWidth="1"/>
    <col min="18" max="18" width="12.85546875" style="18" customWidth="1"/>
    <col min="19" max="19" width="8.140625" style="19" bestFit="1" customWidth="1"/>
    <col min="20" max="20" width="9.5703125" style="20" bestFit="1" customWidth="1"/>
    <col min="21" max="21" width="6.5703125" style="20" customWidth="1"/>
    <col min="22" max="16384" width="9.140625" style="20"/>
  </cols>
  <sheetData>
    <row r="1" spans="1:20" ht="27" customHeight="1" x14ac:dyDescent="0.2">
      <c r="A1" s="112" t="s">
        <v>71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</row>
    <row r="2" spans="1:20" ht="12.75" customHeight="1" x14ac:dyDescent="0.2">
      <c r="A2" s="113" t="s">
        <v>66</v>
      </c>
      <c r="B2" s="114"/>
      <c r="C2" s="114"/>
      <c r="D2" s="115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21"/>
      <c r="R2" s="21"/>
      <c r="S2" s="21"/>
    </row>
    <row r="3" spans="1:20" ht="12.75" customHeight="1" x14ac:dyDescent="0.2">
      <c r="A3" s="116"/>
      <c r="B3" s="117"/>
      <c r="C3" s="117"/>
      <c r="D3" s="118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21"/>
      <c r="R3" s="21"/>
      <c r="S3" s="21"/>
    </row>
    <row r="4" spans="1:20" ht="12.75" customHeight="1" x14ac:dyDescent="0.2">
      <c r="A4" s="119"/>
      <c r="B4" s="120"/>
      <c r="C4" s="120"/>
      <c r="D4" s="12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21"/>
      <c r="R4" s="21"/>
      <c r="S4" s="21"/>
    </row>
    <row r="6" spans="1:20" ht="63.75" x14ac:dyDescent="0.2">
      <c r="A6" s="58" t="s">
        <v>58</v>
      </c>
      <c r="B6" s="58" t="s">
        <v>0</v>
      </c>
      <c r="C6" s="58" t="s">
        <v>15</v>
      </c>
      <c r="D6" s="58" t="s">
        <v>76</v>
      </c>
      <c r="E6" s="58" t="s">
        <v>1</v>
      </c>
      <c r="F6" s="58" t="s">
        <v>2</v>
      </c>
      <c r="G6" s="58" t="s">
        <v>3</v>
      </c>
      <c r="H6" s="58" t="s">
        <v>4</v>
      </c>
      <c r="I6" s="58" t="s">
        <v>69</v>
      </c>
      <c r="J6" s="58" t="s">
        <v>92</v>
      </c>
      <c r="K6" s="58" t="s">
        <v>93</v>
      </c>
      <c r="L6" s="58" t="s">
        <v>98</v>
      </c>
      <c r="M6" s="59" t="s">
        <v>6</v>
      </c>
      <c r="N6" s="58" t="s">
        <v>63</v>
      </c>
      <c r="O6" s="58" t="s">
        <v>95</v>
      </c>
      <c r="P6" s="58" t="s">
        <v>94</v>
      </c>
      <c r="Q6" s="58" t="s">
        <v>64</v>
      </c>
      <c r="R6" s="58" t="s">
        <v>107</v>
      </c>
      <c r="S6" s="58" t="s">
        <v>65</v>
      </c>
      <c r="T6" s="58" t="s">
        <v>77</v>
      </c>
    </row>
    <row r="7" spans="1:20" s="24" customFormat="1" x14ac:dyDescent="0.2">
      <c r="A7" s="26" t="str">
        <f>IF(B7&lt;&gt;"",1," ")</f>
        <v xml:space="preserve"> </v>
      </c>
      <c r="B7" s="27"/>
      <c r="C7" s="35"/>
      <c r="D7" s="42" t="str">
        <f>IF(C7&lt;&gt;"",INDEX(Segédlet!$B$5:$B$37,MATCH(C7,Segédlet!$C$5:$C$37,0)),"")</f>
        <v/>
      </c>
      <c r="E7" s="36"/>
      <c r="F7" s="25"/>
      <c r="G7" s="22" t="str">
        <f t="shared" ref="G7" si="0">IF(B7&lt;&gt;"",E7+F7,"")</f>
        <v/>
      </c>
      <c r="H7" s="25" t="str">
        <f t="shared" ref="H7" si="1">IF(B7&lt;&gt;"",0,"")</f>
        <v/>
      </c>
      <c r="I7" s="25" t="str">
        <f t="shared" ref="I7" si="2">IF(B7&lt;&gt;"",0,"")</f>
        <v/>
      </c>
      <c r="J7" s="25" t="str">
        <f t="shared" ref="J7" si="3">IF(B7&lt;&gt;"",0,"")</f>
        <v/>
      </c>
      <c r="K7" s="28"/>
      <c r="L7" s="28" t="str">
        <f t="shared" ref="L7" si="4">IF(B7&lt;&gt;"",0,"")</f>
        <v/>
      </c>
      <c r="M7" s="37"/>
      <c r="N7" s="23" t="str">
        <f>IF(B7&lt;&gt;"",IF(AND(I7&gt;0,R7&gt;0),(K7+J7-I7)*VLOOKUP(M7,Segédlet!$G$5:$H$12,2,0),(K7+J7)*VLOOKUP(M7,Segédlet!$G$5:$H$12,2,0)),"")</f>
        <v/>
      </c>
      <c r="O7" s="23" t="str">
        <f>IF(B7&lt;&gt;"",IF(G7&lt;=14,G7*J7*VLOOKUP(C7,Segédlet!$C$5:$E$37,2,0),J7*14*VLOOKUP(C7,Segédlet!$C$5:$E$37,2,0)+(G7-14)*J7*VLOOKUP(C7,Segédlet!$C$5:$E$37,3,0)),"")</f>
        <v/>
      </c>
      <c r="P7" s="23" t="str">
        <f>IF(B7&lt;&gt;"",IF(G7&lt;=14,G7*K7*VLOOKUP(C7,Segédlet!$C$5:$E$37,2,0),K7*14*VLOOKUP(C7,Segédlet!$C$5:$E$37,2,0)+(G7-14)*K7*VLOOKUP(C7,Segédlet!$C$5:$E$37,3,0)),"")</f>
        <v/>
      </c>
      <c r="Q7" s="29" t="str">
        <f t="shared" ref="Q7" si="5">IF(B7&lt;&gt;"",0,"")</f>
        <v/>
      </c>
      <c r="R7" s="29" t="str">
        <f t="shared" ref="R7" si="6">IF(B7&lt;&gt;"",0,"")</f>
        <v/>
      </c>
      <c r="S7" s="23" t="str">
        <f>IF(B7&lt;&gt;"",IF(OR(B7=Segédlet!$J$6,B7=Segédlet!$J$7),0,IF(AND(B7=Segédlet!$J$5,E7&lt;10),IF(E7&lt;10,E7*70*K7,"700"),IF(B7 &lt;&gt; Segédlet!$J$5,0,700*K7))),"")</f>
        <v/>
      </c>
      <c r="T7" s="43" t="str">
        <f t="shared" ref="T7" si="7">IF(B7&lt;&gt;"",SUM(N7:S7),"")</f>
        <v/>
      </c>
    </row>
    <row r="8" spans="1:20" s="24" customFormat="1" x14ac:dyDescent="0.2">
      <c r="A8" s="26" t="str">
        <f t="shared" ref="A8:A71" si="8">IF(B8&lt;&gt;"",1," ")</f>
        <v xml:space="preserve"> </v>
      </c>
      <c r="B8" s="27"/>
      <c r="C8" s="35"/>
      <c r="D8" s="42" t="str">
        <f>IF(C8&lt;&gt;"",INDEX(Segédlet!$B$5:$B$37,MATCH(C8,Segédlet!$C$5:$C$37,0)),"")</f>
        <v/>
      </c>
      <c r="E8" s="36"/>
      <c r="F8" s="25"/>
      <c r="G8" s="22" t="str">
        <f t="shared" ref="G8:G71" si="9">IF(B8&lt;&gt;"",E8+F8,"")</f>
        <v/>
      </c>
      <c r="H8" s="25" t="str">
        <f t="shared" ref="H8:H71" si="10">IF(B8&lt;&gt;"",0,"")</f>
        <v/>
      </c>
      <c r="I8" s="25" t="str">
        <f t="shared" ref="I8:I71" si="11">IF(B8&lt;&gt;"",0,"")</f>
        <v/>
      </c>
      <c r="J8" s="25" t="str">
        <f t="shared" ref="J8:J71" si="12">IF(B8&lt;&gt;"",0,"")</f>
        <v/>
      </c>
      <c r="K8" s="28"/>
      <c r="L8" s="28" t="str">
        <f t="shared" ref="L8:L71" si="13">IF(B8&lt;&gt;"",0,"")</f>
        <v/>
      </c>
      <c r="M8" s="37"/>
      <c r="N8" s="23" t="str">
        <f>IF(B8&lt;&gt;"",IF(AND(I8&gt;0,R8&gt;0),(K8+J8-I8)*VLOOKUP(M8,Segédlet!$G$5:$H$12,2,0),(K8+J8)*VLOOKUP(M8,Segédlet!$G$5:$H$12,2,0)),"")</f>
        <v/>
      </c>
      <c r="O8" s="23" t="str">
        <f>IF(B8&lt;&gt;"",IF(G8&lt;=14,G8*J8*VLOOKUP(C8,Segédlet!$C$5:$E$37,2,0),J8*14*VLOOKUP(C8,Segédlet!$C$5:$E$37,2,0)+(G8-14)*J8*VLOOKUP(C8,Segédlet!$C$5:$E$37,3,0)),"")</f>
        <v/>
      </c>
      <c r="P8" s="23" t="str">
        <f>IF(B8&lt;&gt;"",IF(G8&lt;=14,G8*K8*VLOOKUP(C8,Segédlet!$C$5:$E$37,2,0),K8*14*VLOOKUP(C8,Segédlet!$C$5:$E$37,2,0)+(G8-14)*K8*VLOOKUP(C8,Segédlet!$C$5:$E$37,3,0)),"")</f>
        <v/>
      </c>
      <c r="Q8" s="29" t="str">
        <f t="shared" ref="Q8:Q71" si="14">IF(B8&lt;&gt;"",0,"")</f>
        <v/>
      </c>
      <c r="R8" s="29" t="str">
        <f t="shared" ref="R8:R71" si="15">IF(B8&lt;&gt;"",0,"")</f>
        <v/>
      </c>
      <c r="S8" s="23" t="str">
        <f>IF(B8&lt;&gt;"",IF(OR(B8=Segédlet!$J$6,B8=Segédlet!$J$7),0,IF(AND(B8=Segédlet!$J$5,E8&lt;10),IF(E8&lt;10,E8*70*K8,"700"),IF(B8 &lt;&gt; Segédlet!$J$5,0,700*K8))),"")</f>
        <v/>
      </c>
      <c r="T8" s="43" t="str">
        <f t="shared" ref="T8:T71" si="16">IF(B8&lt;&gt;"",SUM(N8:S8),"")</f>
        <v/>
      </c>
    </row>
    <row r="9" spans="1:20" s="24" customFormat="1" x14ac:dyDescent="0.2">
      <c r="A9" s="26" t="str">
        <f t="shared" si="8"/>
        <v xml:space="preserve"> </v>
      </c>
      <c r="B9" s="27"/>
      <c r="C9" s="35"/>
      <c r="D9" s="42" t="str">
        <f>IF(C9&lt;&gt;"",INDEX(Segédlet!$B$5:$B$37,MATCH(C9,Segédlet!$C$5:$C$37,0)),"")</f>
        <v/>
      </c>
      <c r="E9" s="36"/>
      <c r="F9" s="25"/>
      <c r="G9" s="22" t="str">
        <f t="shared" si="9"/>
        <v/>
      </c>
      <c r="H9" s="25" t="str">
        <f t="shared" si="10"/>
        <v/>
      </c>
      <c r="I9" s="25" t="str">
        <f t="shared" si="11"/>
        <v/>
      </c>
      <c r="J9" s="25" t="str">
        <f t="shared" si="12"/>
        <v/>
      </c>
      <c r="K9" s="28"/>
      <c r="L9" s="28" t="str">
        <f t="shared" si="13"/>
        <v/>
      </c>
      <c r="M9" s="37"/>
      <c r="N9" s="23" t="str">
        <f>IF(B9&lt;&gt;"",IF(AND(I9&gt;0,R9&gt;0),(K9+J9-I9)*VLOOKUP(M9,Segédlet!$G$5:$H$12,2,0),(K9+J9)*VLOOKUP(M9,Segédlet!$G$5:$H$12,2,0)),"")</f>
        <v/>
      </c>
      <c r="O9" s="23" t="str">
        <f>IF(B9&lt;&gt;"",IF(G9&lt;=14,G9*J9*VLOOKUP(C9,Segédlet!$C$5:$E$37,2,0),J9*14*VLOOKUP(C9,Segédlet!$C$5:$E$37,2,0)+(G9-14)*J9*VLOOKUP(C9,Segédlet!$C$5:$E$37,3,0)),"")</f>
        <v/>
      </c>
      <c r="P9" s="23" t="str">
        <f>IF(B9&lt;&gt;"",IF(G9&lt;=14,G9*K9*VLOOKUP(C9,Segédlet!$C$5:$E$37,2,0),K9*14*VLOOKUP(C9,Segédlet!$C$5:$E$37,2,0)+(G9-14)*K9*VLOOKUP(C9,Segédlet!$C$5:$E$37,3,0)),"")</f>
        <v/>
      </c>
      <c r="Q9" s="29" t="str">
        <f t="shared" si="14"/>
        <v/>
      </c>
      <c r="R9" s="29" t="str">
        <f t="shared" si="15"/>
        <v/>
      </c>
      <c r="S9" s="23" t="str">
        <f>IF(B9&lt;&gt;"",IF(OR(B9=Segédlet!$J$6,B9=Segédlet!$J$7),0,IF(AND(B9=Segédlet!$J$5,E9&lt;10),IF(E9&lt;10,E9*70*K9,"700"),IF(B9 &lt;&gt; Segédlet!$J$5,0,700*K9))),"")</f>
        <v/>
      </c>
      <c r="T9" s="43" t="str">
        <f t="shared" si="16"/>
        <v/>
      </c>
    </row>
    <row r="10" spans="1:20" s="24" customFormat="1" x14ac:dyDescent="0.2">
      <c r="A10" s="26" t="str">
        <f t="shared" si="8"/>
        <v xml:space="preserve"> </v>
      </c>
      <c r="B10" s="27"/>
      <c r="C10" s="35"/>
      <c r="D10" s="42" t="str">
        <f>IF(C10&lt;&gt;"",INDEX(Segédlet!$B$5:$B$37,MATCH(C10,Segédlet!$C$5:$C$37,0)),"")</f>
        <v/>
      </c>
      <c r="E10" s="36"/>
      <c r="F10" s="25"/>
      <c r="G10" s="22" t="str">
        <f t="shared" si="9"/>
        <v/>
      </c>
      <c r="H10" s="25" t="str">
        <f t="shared" si="10"/>
        <v/>
      </c>
      <c r="I10" s="25" t="str">
        <f t="shared" si="11"/>
        <v/>
      </c>
      <c r="J10" s="25" t="str">
        <f t="shared" si="12"/>
        <v/>
      </c>
      <c r="K10" s="28"/>
      <c r="L10" s="28" t="str">
        <f t="shared" si="13"/>
        <v/>
      </c>
      <c r="M10" s="37"/>
      <c r="N10" s="23" t="str">
        <f>IF(B10&lt;&gt;"",IF(AND(I10&gt;0,R10&gt;0),(K10+J10-I10)*VLOOKUP(M10,Segédlet!$G$5:$H$12,2,0),(K10+J10)*VLOOKUP(M10,Segédlet!$G$5:$H$12,2,0)),"")</f>
        <v/>
      </c>
      <c r="O10" s="23" t="str">
        <f>IF(B10&lt;&gt;"",IF(G10&lt;=14,G10*J10*VLOOKUP(C10,Segédlet!$C$5:$E$37,2,0),J10*14*VLOOKUP(C10,Segédlet!$C$5:$E$37,2,0)+(G10-14)*J10*VLOOKUP(C10,Segédlet!$C$5:$E$37,3,0)),"")</f>
        <v/>
      </c>
      <c r="P10" s="23" t="str">
        <f>IF(B10&lt;&gt;"",IF(G10&lt;=14,G10*K10*VLOOKUP(C10,Segédlet!$C$5:$E$37,2,0),K10*14*VLOOKUP(C10,Segédlet!$C$5:$E$37,2,0)+(G10-14)*K10*VLOOKUP(C10,Segédlet!$C$5:$E$37,3,0)),"")</f>
        <v/>
      </c>
      <c r="Q10" s="29" t="str">
        <f t="shared" si="14"/>
        <v/>
      </c>
      <c r="R10" s="29" t="str">
        <f t="shared" si="15"/>
        <v/>
      </c>
      <c r="S10" s="23" t="str">
        <f>IF(B10&lt;&gt;"",IF(OR(B10=Segédlet!$J$6,B10=Segédlet!$J$7),0,IF(AND(B10=Segédlet!$J$5,E10&lt;10),IF(E10&lt;10,E10*70*K10,"700"),IF(B10 &lt;&gt; Segédlet!$J$5,0,700*K10))),"")</f>
        <v/>
      </c>
      <c r="T10" s="43" t="str">
        <f t="shared" si="16"/>
        <v/>
      </c>
    </row>
    <row r="11" spans="1:20" s="24" customFormat="1" x14ac:dyDescent="0.2">
      <c r="A11" s="26" t="str">
        <f t="shared" si="8"/>
        <v xml:space="preserve"> </v>
      </c>
      <c r="B11" s="27"/>
      <c r="C11" s="35"/>
      <c r="D11" s="42" t="str">
        <f>IF(C11&lt;&gt;"",INDEX(Segédlet!$B$5:$B$37,MATCH(C11,Segédlet!$C$5:$C$37,0)),"")</f>
        <v/>
      </c>
      <c r="E11" s="36"/>
      <c r="F11" s="25"/>
      <c r="G11" s="22" t="str">
        <f t="shared" si="9"/>
        <v/>
      </c>
      <c r="H11" s="25" t="str">
        <f t="shared" si="10"/>
        <v/>
      </c>
      <c r="I11" s="25" t="str">
        <f t="shared" si="11"/>
        <v/>
      </c>
      <c r="J11" s="25" t="str">
        <f t="shared" si="12"/>
        <v/>
      </c>
      <c r="K11" s="28"/>
      <c r="L11" s="28" t="str">
        <f t="shared" si="13"/>
        <v/>
      </c>
      <c r="M11" s="37"/>
      <c r="N11" s="23" t="str">
        <f>IF(B11&lt;&gt;"",IF(AND(I11&gt;0,R11&gt;0),(K11+J11-I11)*VLOOKUP(M11,Segédlet!$G$5:$H$12,2,0),(K11+J11)*VLOOKUP(M11,Segédlet!$G$5:$H$12,2,0)),"")</f>
        <v/>
      </c>
      <c r="O11" s="23" t="str">
        <f>IF(B11&lt;&gt;"",IF(G11&lt;=14,G11*J11*VLOOKUP(C11,Segédlet!$C$5:$E$37,2,0),J11*14*VLOOKUP(C11,Segédlet!$C$5:$E$37,2,0)+(G11-14)*J11*VLOOKUP(C11,Segédlet!$C$5:$E$37,3,0)),"")</f>
        <v/>
      </c>
      <c r="P11" s="23" t="str">
        <f>IF(B11&lt;&gt;"",IF(G11&lt;=14,G11*K11*VLOOKUP(C11,Segédlet!$C$5:$E$37,2,0),K11*14*VLOOKUP(C11,Segédlet!$C$5:$E$37,2,0)+(G11-14)*K11*VLOOKUP(C11,Segédlet!$C$5:$E$37,3,0)),"")</f>
        <v/>
      </c>
      <c r="Q11" s="29" t="str">
        <f t="shared" si="14"/>
        <v/>
      </c>
      <c r="R11" s="29" t="str">
        <f t="shared" si="15"/>
        <v/>
      </c>
      <c r="S11" s="23" t="str">
        <f>IF(B11&lt;&gt;"",IF(OR(B11=Segédlet!$J$6,B11=Segédlet!$J$7),0,IF(AND(B11=Segédlet!$J$5,E11&lt;10),IF(E11&lt;10,E11*70*K11,"700"),IF(B11 &lt;&gt; Segédlet!$J$5,0,700*K11))),"")</f>
        <v/>
      </c>
      <c r="T11" s="43" t="str">
        <f t="shared" si="16"/>
        <v/>
      </c>
    </row>
    <row r="12" spans="1:20" s="24" customFormat="1" x14ac:dyDescent="0.2">
      <c r="A12" s="26" t="str">
        <f t="shared" si="8"/>
        <v xml:space="preserve"> </v>
      </c>
      <c r="B12" s="27"/>
      <c r="C12" s="35"/>
      <c r="D12" s="42" t="str">
        <f>IF(C12&lt;&gt;"",INDEX(Segédlet!$B$5:$B$37,MATCH(C12,Segédlet!$C$5:$C$37,0)),"")</f>
        <v/>
      </c>
      <c r="E12" s="36"/>
      <c r="F12" s="25"/>
      <c r="G12" s="22" t="str">
        <f t="shared" si="9"/>
        <v/>
      </c>
      <c r="H12" s="25" t="str">
        <f t="shared" si="10"/>
        <v/>
      </c>
      <c r="I12" s="25" t="str">
        <f t="shared" si="11"/>
        <v/>
      </c>
      <c r="J12" s="25" t="str">
        <f t="shared" si="12"/>
        <v/>
      </c>
      <c r="K12" s="28"/>
      <c r="L12" s="28" t="str">
        <f t="shared" si="13"/>
        <v/>
      </c>
      <c r="M12" s="37"/>
      <c r="N12" s="23" t="str">
        <f>IF(B12&lt;&gt;"",IF(AND(I12&gt;0,R12&gt;0),(K12+J12-I12)*VLOOKUP(M12,Segédlet!$G$5:$H$12,2,0),(K12+J12)*VLOOKUP(M12,Segédlet!$G$5:$H$12,2,0)),"")</f>
        <v/>
      </c>
      <c r="O12" s="23" t="str">
        <f>IF(B12&lt;&gt;"",IF(G12&lt;=14,G12*J12*VLOOKUP(C12,Segédlet!$C$5:$E$37,2,0),J12*14*VLOOKUP(C12,Segédlet!$C$5:$E$37,2,0)+(G12-14)*J12*VLOOKUP(C12,Segédlet!$C$5:$E$37,3,0)),"")</f>
        <v/>
      </c>
      <c r="P12" s="23" t="str">
        <f>IF(B12&lt;&gt;"",IF(G12&lt;=14,G12*K12*VLOOKUP(C12,Segédlet!$C$5:$E$37,2,0),K12*14*VLOOKUP(C12,Segédlet!$C$5:$E$37,2,0)+(G12-14)*K12*VLOOKUP(C12,Segédlet!$C$5:$E$37,3,0)),"")</f>
        <v/>
      </c>
      <c r="Q12" s="29" t="str">
        <f t="shared" si="14"/>
        <v/>
      </c>
      <c r="R12" s="29" t="str">
        <f t="shared" si="15"/>
        <v/>
      </c>
      <c r="S12" s="23" t="str">
        <f>IF(B12&lt;&gt;"",IF(OR(B12=Segédlet!$J$6,B12=Segédlet!$J$7),0,IF(AND(B12=Segédlet!$J$5,E12&lt;10),IF(E12&lt;10,E12*70*K12,"700"),IF(B12 &lt;&gt; Segédlet!$J$5,0,700*K12))),"")</f>
        <v/>
      </c>
      <c r="T12" s="43" t="str">
        <f t="shared" si="16"/>
        <v/>
      </c>
    </row>
    <row r="13" spans="1:20" s="24" customFormat="1" x14ac:dyDescent="0.2">
      <c r="A13" s="26" t="str">
        <f t="shared" si="8"/>
        <v xml:space="preserve"> </v>
      </c>
      <c r="B13" s="27"/>
      <c r="C13" s="35"/>
      <c r="D13" s="42" t="str">
        <f>IF(C13&lt;&gt;"",INDEX(Segédlet!$B$5:$B$37,MATCH(C13,Segédlet!$C$5:$C$37,0)),"")</f>
        <v/>
      </c>
      <c r="E13" s="36"/>
      <c r="F13" s="25"/>
      <c r="G13" s="22" t="str">
        <f t="shared" si="9"/>
        <v/>
      </c>
      <c r="H13" s="25" t="str">
        <f t="shared" si="10"/>
        <v/>
      </c>
      <c r="I13" s="25" t="str">
        <f t="shared" si="11"/>
        <v/>
      </c>
      <c r="J13" s="25" t="str">
        <f t="shared" si="12"/>
        <v/>
      </c>
      <c r="K13" s="28"/>
      <c r="L13" s="28" t="str">
        <f t="shared" si="13"/>
        <v/>
      </c>
      <c r="M13" s="37"/>
      <c r="N13" s="23" t="str">
        <f>IF(B13&lt;&gt;"",IF(AND(I13&gt;0,R13&gt;0),(K13+J13-I13)*VLOOKUP(M13,Segédlet!$G$5:$H$12,2,0),(K13+J13)*VLOOKUP(M13,Segédlet!$G$5:$H$12,2,0)),"")</f>
        <v/>
      </c>
      <c r="O13" s="23" t="str">
        <f>IF(B13&lt;&gt;"",IF(G13&lt;=14,G13*J13*VLOOKUP(C13,Segédlet!$C$5:$E$37,2,0),J13*14*VLOOKUP(C13,Segédlet!$C$5:$E$37,2,0)+(G13-14)*J13*VLOOKUP(C13,Segédlet!$C$5:$E$37,3,0)),"")</f>
        <v/>
      </c>
      <c r="P13" s="23" t="str">
        <f>IF(B13&lt;&gt;"",IF(G13&lt;=14,G13*K13*VLOOKUP(C13,Segédlet!$C$5:$E$37,2,0),K13*14*VLOOKUP(C13,Segédlet!$C$5:$E$37,2,0)+(G13-14)*K13*VLOOKUP(C13,Segédlet!$C$5:$E$37,3,0)),"")</f>
        <v/>
      </c>
      <c r="Q13" s="29" t="str">
        <f t="shared" si="14"/>
        <v/>
      </c>
      <c r="R13" s="29" t="str">
        <f t="shared" si="15"/>
        <v/>
      </c>
      <c r="S13" s="23" t="str">
        <f>IF(B13&lt;&gt;"",IF(OR(B13=Segédlet!$J$6,B13=Segédlet!$J$7),0,IF(AND(B13=Segédlet!$J$5,E13&lt;10),IF(E13&lt;10,E13*70*K13,"700"),IF(B13 &lt;&gt; Segédlet!$J$5,0,700*K13))),"")</f>
        <v/>
      </c>
      <c r="T13" s="43" t="str">
        <f t="shared" si="16"/>
        <v/>
      </c>
    </row>
    <row r="14" spans="1:20" s="24" customFormat="1" x14ac:dyDescent="0.2">
      <c r="A14" s="26" t="str">
        <f t="shared" si="8"/>
        <v xml:space="preserve"> </v>
      </c>
      <c r="B14" s="27"/>
      <c r="C14" s="35"/>
      <c r="D14" s="42" t="str">
        <f>IF(C14&lt;&gt;"",INDEX(Segédlet!$B$5:$B$37,MATCH(C14,Segédlet!$C$5:$C$37,0)),"")</f>
        <v/>
      </c>
      <c r="E14" s="36"/>
      <c r="F14" s="25"/>
      <c r="G14" s="22" t="str">
        <f t="shared" si="9"/>
        <v/>
      </c>
      <c r="H14" s="25" t="str">
        <f t="shared" si="10"/>
        <v/>
      </c>
      <c r="I14" s="25" t="str">
        <f t="shared" si="11"/>
        <v/>
      </c>
      <c r="J14" s="25" t="str">
        <f t="shared" si="12"/>
        <v/>
      </c>
      <c r="K14" s="28"/>
      <c r="L14" s="28" t="str">
        <f t="shared" si="13"/>
        <v/>
      </c>
      <c r="M14" s="37"/>
      <c r="N14" s="23" t="str">
        <f>IF(B14&lt;&gt;"",IF(AND(I14&gt;0,R14&gt;0),(K14+J14-I14)*VLOOKUP(M14,Segédlet!$G$5:$H$12,2,0),(K14+J14)*VLOOKUP(M14,Segédlet!$G$5:$H$12,2,0)),"")</f>
        <v/>
      </c>
      <c r="O14" s="23" t="str">
        <f>IF(B14&lt;&gt;"",IF(G14&lt;=14,G14*J14*VLOOKUP(C14,Segédlet!$C$5:$E$37,2,0),J14*14*VLOOKUP(C14,Segédlet!$C$5:$E$37,2,0)+(G14-14)*J14*VLOOKUP(C14,Segédlet!$C$5:$E$37,3,0)),"")</f>
        <v/>
      </c>
      <c r="P14" s="23" t="str">
        <f>IF(B14&lt;&gt;"",IF(G14&lt;=14,G14*K14*VLOOKUP(C14,Segédlet!$C$5:$E$37,2,0),K14*14*VLOOKUP(C14,Segédlet!$C$5:$E$37,2,0)+(G14-14)*K14*VLOOKUP(C14,Segédlet!$C$5:$E$37,3,0)),"")</f>
        <v/>
      </c>
      <c r="Q14" s="29" t="str">
        <f t="shared" si="14"/>
        <v/>
      </c>
      <c r="R14" s="29" t="str">
        <f t="shared" si="15"/>
        <v/>
      </c>
      <c r="S14" s="23" t="str">
        <f>IF(B14&lt;&gt;"",IF(OR(B14=Segédlet!$J$6,B14=Segédlet!$J$7),0,IF(AND(B14=Segédlet!$J$5,E14&lt;10),IF(E14&lt;10,E14*70*K14,"700"),IF(B14 &lt;&gt; Segédlet!$J$5,0,700*K14))),"")</f>
        <v/>
      </c>
      <c r="T14" s="43" t="str">
        <f t="shared" si="16"/>
        <v/>
      </c>
    </row>
    <row r="15" spans="1:20" s="24" customFormat="1" x14ac:dyDescent="0.2">
      <c r="A15" s="26" t="str">
        <f t="shared" si="8"/>
        <v xml:space="preserve"> </v>
      </c>
      <c r="B15" s="27"/>
      <c r="C15" s="35"/>
      <c r="D15" s="42" t="str">
        <f>IF(C15&lt;&gt;"",INDEX(Segédlet!$B$5:$B$37,MATCH(C15,Segédlet!$C$5:$C$37,0)),"")</f>
        <v/>
      </c>
      <c r="E15" s="36"/>
      <c r="F15" s="25"/>
      <c r="G15" s="22" t="str">
        <f t="shared" si="9"/>
        <v/>
      </c>
      <c r="H15" s="25" t="str">
        <f t="shared" si="10"/>
        <v/>
      </c>
      <c r="I15" s="25" t="str">
        <f t="shared" si="11"/>
        <v/>
      </c>
      <c r="J15" s="25" t="str">
        <f t="shared" si="12"/>
        <v/>
      </c>
      <c r="K15" s="28"/>
      <c r="L15" s="28" t="str">
        <f t="shared" si="13"/>
        <v/>
      </c>
      <c r="M15" s="37"/>
      <c r="N15" s="23" t="str">
        <f>IF(B15&lt;&gt;"",IF(AND(I15&gt;0,R15&gt;0),(K15+J15-I15)*VLOOKUP(M15,Segédlet!$G$5:$H$12,2,0),(K15+J15)*VLOOKUP(M15,Segédlet!$G$5:$H$12,2,0)),"")</f>
        <v/>
      </c>
      <c r="O15" s="23" t="str">
        <f>IF(B15&lt;&gt;"",IF(G15&lt;=14,G15*J15*VLOOKUP(C15,Segédlet!$C$5:$E$37,2,0),J15*14*VLOOKUP(C15,Segédlet!$C$5:$E$37,2,0)+(G15-14)*J15*VLOOKUP(C15,Segédlet!$C$5:$E$37,3,0)),"")</f>
        <v/>
      </c>
      <c r="P15" s="23" t="str">
        <f>IF(B15&lt;&gt;"",IF(G15&lt;=14,G15*K15*VLOOKUP(C15,Segédlet!$C$5:$E$37,2,0),K15*14*VLOOKUP(C15,Segédlet!$C$5:$E$37,2,0)+(G15-14)*K15*VLOOKUP(C15,Segédlet!$C$5:$E$37,3,0)),"")</f>
        <v/>
      </c>
      <c r="Q15" s="29" t="str">
        <f t="shared" si="14"/>
        <v/>
      </c>
      <c r="R15" s="29" t="str">
        <f t="shared" si="15"/>
        <v/>
      </c>
      <c r="S15" s="23" t="str">
        <f>IF(B15&lt;&gt;"",IF(OR(B15=Segédlet!$J$6,B15=Segédlet!$J$7),0,IF(AND(B15=Segédlet!$J$5,E15&lt;10),IF(E15&lt;10,E15*70*K15,"700"),IF(B15 &lt;&gt; Segédlet!$J$5,0,700*K15))),"")</f>
        <v/>
      </c>
      <c r="T15" s="43" t="str">
        <f t="shared" si="16"/>
        <v/>
      </c>
    </row>
    <row r="16" spans="1:20" s="24" customFormat="1" x14ac:dyDescent="0.2">
      <c r="A16" s="26" t="str">
        <f t="shared" si="8"/>
        <v xml:space="preserve"> </v>
      </c>
      <c r="B16" s="27"/>
      <c r="C16" s="35"/>
      <c r="D16" s="42" t="str">
        <f>IF(C16&lt;&gt;"",INDEX(Segédlet!$B$5:$B$37,MATCH(C16,Segédlet!$C$5:$C$37,0)),"")</f>
        <v/>
      </c>
      <c r="E16" s="36"/>
      <c r="F16" s="25"/>
      <c r="G16" s="22" t="str">
        <f t="shared" si="9"/>
        <v/>
      </c>
      <c r="H16" s="25" t="str">
        <f t="shared" si="10"/>
        <v/>
      </c>
      <c r="I16" s="25" t="str">
        <f t="shared" si="11"/>
        <v/>
      </c>
      <c r="J16" s="25" t="str">
        <f t="shared" si="12"/>
        <v/>
      </c>
      <c r="K16" s="28"/>
      <c r="L16" s="28" t="str">
        <f t="shared" si="13"/>
        <v/>
      </c>
      <c r="M16" s="37"/>
      <c r="N16" s="23" t="str">
        <f>IF(B16&lt;&gt;"",IF(AND(I16&gt;0,R16&gt;0),(K16+J16-I16)*VLOOKUP(M16,Segédlet!$G$5:$H$12,2,0),(K16+J16)*VLOOKUP(M16,Segédlet!$G$5:$H$12,2,0)),"")</f>
        <v/>
      </c>
      <c r="O16" s="23" t="str">
        <f>IF(B16&lt;&gt;"",IF(G16&lt;=14,G16*J16*VLOOKUP(C16,Segédlet!$C$5:$E$37,2,0),J16*14*VLOOKUP(C16,Segédlet!$C$5:$E$37,2,0)+(G16-14)*J16*VLOOKUP(C16,Segédlet!$C$5:$E$37,3,0)),"")</f>
        <v/>
      </c>
      <c r="P16" s="23" t="str">
        <f>IF(B16&lt;&gt;"",IF(G16&lt;=14,G16*K16*VLOOKUP(C16,Segédlet!$C$5:$E$37,2,0),K16*14*VLOOKUP(C16,Segédlet!$C$5:$E$37,2,0)+(G16-14)*K16*VLOOKUP(C16,Segédlet!$C$5:$E$37,3,0)),"")</f>
        <v/>
      </c>
      <c r="Q16" s="29" t="str">
        <f t="shared" si="14"/>
        <v/>
      </c>
      <c r="R16" s="29" t="str">
        <f t="shared" si="15"/>
        <v/>
      </c>
      <c r="S16" s="23" t="str">
        <f>IF(B16&lt;&gt;"",IF(OR(B16=Segédlet!$J$6,B16=Segédlet!$J$7),0,IF(AND(B16=Segédlet!$J$5,E16&lt;10),IF(E16&lt;10,E16*70*K16,"700"),IF(B16 &lt;&gt; Segédlet!$J$5,0,700*K16))),"")</f>
        <v/>
      </c>
      <c r="T16" s="43" t="str">
        <f t="shared" si="16"/>
        <v/>
      </c>
    </row>
    <row r="17" spans="1:20" s="24" customFormat="1" x14ac:dyDescent="0.2">
      <c r="A17" s="26" t="str">
        <f t="shared" si="8"/>
        <v xml:space="preserve"> </v>
      </c>
      <c r="B17" s="27"/>
      <c r="C17" s="35"/>
      <c r="D17" s="42" t="str">
        <f>IF(C17&lt;&gt;"",INDEX(Segédlet!$B$5:$B$37,MATCH(C17,Segédlet!$C$5:$C$37,0)),"")</f>
        <v/>
      </c>
      <c r="E17" s="36"/>
      <c r="F17" s="25"/>
      <c r="G17" s="22" t="str">
        <f t="shared" si="9"/>
        <v/>
      </c>
      <c r="H17" s="25" t="str">
        <f t="shared" si="10"/>
        <v/>
      </c>
      <c r="I17" s="25" t="str">
        <f t="shared" si="11"/>
        <v/>
      </c>
      <c r="J17" s="25" t="str">
        <f t="shared" si="12"/>
        <v/>
      </c>
      <c r="K17" s="28"/>
      <c r="L17" s="28" t="str">
        <f t="shared" si="13"/>
        <v/>
      </c>
      <c r="M17" s="37"/>
      <c r="N17" s="23" t="str">
        <f>IF(B17&lt;&gt;"",IF(AND(I17&gt;0,R17&gt;0),(K17+J17-I17)*VLOOKUP(M17,Segédlet!$G$5:$H$12,2,0),(K17+J17)*VLOOKUP(M17,Segédlet!$G$5:$H$12,2,0)),"")</f>
        <v/>
      </c>
      <c r="O17" s="23" t="str">
        <f>IF(B17&lt;&gt;"",IF(G17&lt;=14,G17*J17*VLOOKUP(C17,Segédlet!$C$5:$E$37,2,0),J17*14*VLOOKUP(C17,Segédlet!$C$5:$E$37,2,0)+(G17-14)*J17*VLOOKUP(C17,Segédlet!$C$5:$E$37,3,0)),"")</f>
        <v/>
      </c>
      <c r="P17" s="23" t="str">
        <f>IF(B17&lt;&gt;"",IF(G17&lt;=14,G17*K17*VLOOKUP(C17,Segédlet!$C$5:$E$37,2,0),K17*14*VLOOKUP(C17,Segédlet!$C$5:$E$37,2,0)+(G17-14)*K17*VLOOKUP(C17,Segédlet!$C$5:$E$37,3,0)),"")</f>
        <v/>
      </c>
      <c r="Q17" s="29" t="str">
        <f t="shared" si="14"/>
        <v/>
      </c>
      <c r="R17" s="29" t="str">
        <f t="shared" si="15"/>
        <v/>
      </c>
      <c r="S17" s="23" t="str">
        <f>IF(B17&lt;&gt;"",IF(OR(B17=Segédlet!$J$6,B17=Segédlet!$J$7),0,IF(AND(B17=Segédlet!$J$5,E17&lt;10),IF(E17&lt;10,E17*70*K17,"700"),IF(B17 &lt;&gt; Segédlet!$J$5,0,700*K17))),"")</f>
        <v/>
      </c>
      <c r="T17" s="43" t="str">
        <f t="shared" si="16"/>
        <v/>
      </c>
    </row>
    <row r="18" spans="1:20" s="24" customFormat="1" x14ac:dyDescent="0.2">
      <c r="A18" s="26" t="str">
        <f t="shared" si="8"/>
        <v xml:space="preserve"> </v>
      </c>
      <c r="B18" s="27"/>
      <c r="C18" s="35"/>
      <c r="D18" s="42" t="str">
        <f>IF(C18&lt;&gt;"",INDEX(Segédlet!$B$5:$B$37,MATCH(C18,Segédlet!$C$5:$C$37,0)),"")</f>
        <v/>
      </c>
      <c r="E18" s="36"/>
      <c r="F18" s="25"/>
      <c r="G18" s="22" t="str">
        <f t="shared" si="9"/>
        <v/>
      </c>
      <c r="H18" s="25" t="str">
        <f t="shared" si="10"/>
        <v/>
      </c>
      <c r="I18" s="25" t="str">
        <f t="shared" si="11"/>
        <v/>
      </c>
      <c r="J18" s="25" t="str">
        <f t="shared" si="12"/>
        <v/>
      </c>
      <c r="K18" s="28"/>
      <c r="L18" s="28" t="str">
        <f t="shared" si="13"/>
        <v/>
      </c>
      <c r="M18" s="37"/>
      <c r="N18" s="23" t="str">
        <f>IF(B18&lt;&gt;"",IF(AND(I18&gt;0,R18&gt;0),(K18+J18-I18)*VLOOKUP(M18,Segédlet!$G$5:$H$12,2,0),(K18+J18)*VLOOKUP(M18,Segédlet!$G$5:$H$12,2,0)),"")</f>
        <v/>
      </c>
      <c r="O18" s="23" t="str">
        <f>IF(B18&lt;&gt;"",IF(G18&lt;=14,G18*J18*VLOOKUP(C18,Segédlet!$C$5:$E$37,2,0),J18*14*VLOOKUP(C18,Segédlet!$C$5:$E$37,2,0)+(G18-14)*J18*VLOOKUP(C18,Segédlet!$C$5:$E$37,3,0)),"")</f>
        <v/>
      </c>
      <c r="P18" s="23" t="str">
        <f>IF(B18&lt;&gt;"",IF(G18&lt;=14,G18*K18*VLOOKUP(C18,Segédlet!$C$5:$E$37,2,0),K18*14*VLOOKUP(C18,Segédlet!$C$5:$E$37,2,0)+(G18-14)*K18*VLOOKUP(C18,Segédlet!$C$5:$E$37,3,0)),"")</f>
        <v/>
      </c>
      <c r="Q18" s="29" t="str">
        <f t="shared" si="14"/>
        <v/>
      </c>
      <c r="R18" s="29" t="str">
        <f t="shared" si="15"/>
        <v/>
      </c>
      <c r="S18" s="23" t="str">
        <f>IF(B18&lt;&gt;"",IF(OR(B18=Segédlet!$J$6,B18=Segédlet!$J$7),0,IF(AND(B18=Segédlet!$J$5,E18&lt;10),IF(E18&lt;10,E18*70*K18,"700"),IF(B18 &lt;&gt; Segédlet!$J$5,0,700*K18))),"")</f>
        <v/>
      </c>
      <c r="T18" s="43" t="str">
        <f t="shared" si="16"/>
        <v/>
      </c>
    </row>
    <row r="19" spans="1:20" s="24" customFormat="1" x14ac:dyDescent="0.2">
      <c r="A19" s="26" t="str">
        <f t="shared" si="8"/>
        <v xml:space="preserve"> </v>
      </c>
      <c r="B19" s="27"/>
      <c r="C19" s="35"/>
      <c r="D19" s="42" t="str">
        <f>IF(C19&lt;&gt;"",INDEX(Segédlet!$B$5:$B$37,MATCH(C19,Segédlet!$C$5:$C$37,0)),"")</f>
        <v/>
      </c>
      <c r="E19" s="36"/>
      <c r="F19" s="25"/>
      <c r="G19" s="22" t="str">
        <f t="shared" si="9"/>
        <v/>
      </c>
      <c r="H19" s="25" t="str">
        <f t="shared" si="10"/>
        <v/>
      </c>
      <c r="I19" s="25" t="str">
        <f t="shared" si="11"/>
        <v/>
      </c>
      <c r="J19" s="25" t="str">
        <f t="shared" si="12"/>
        <v/>
      </c>
      <c r="K19" s="28"/>
      <c r="L19" s="28" t="str">
        <f t="shared" si="13"/>
        <v/>
      </c>
      <c r="M19" s="37"/>
      <c r="N19" s="23" t="str">
        <f>IF(B19&lt;&gt;"",IF(AND(I19&gt;0,R19&gt;0),(K19+J19-I19)*VLOOKUP(M19,Segédlet!$G$5:$H$12,2,0),(K19+J19)*VLOOKUP(M19,Segédlet!$G$5:$H$12,2,0)),"")</f>
        <v/>
      </c>
      <c r="O19" s="23" t="str">
        <f>IF(B19&lt;&gt;"",IF(G19&lt;=14,G19*J19*VLOOKUP(C19,Segédlet!$C$5:$E$37,2,0),J19*14*VLOOKUP(C19,Segédlet!$C$5:$E$37,2,0)+(G19-14)*J19*VLOOKUP(C19,Segédlet!$C$5:$E$37,3,0)),"")</f>
        <v/>
      </c>
      <c r="P19" s="23" t="str">
        <f>IF(B19&lt;&gt;"",IF(G19&lt;=14,G19*K19*VLOOKUP(C19,Segédlet!$C$5:$E$37,2,0),K19*14*VLOOKUP(C19,Segédlet!$C$5:$E$37,2,0)+(G19-14)*K19*VLOOKUP(C19,Segédlet!$C$5:$E$37,3,0)),"")</f>
        <v/>
      </c>
      <c r="Q19" s="29" t="str">
        <f t="shared" si="14"/>
        <v/>
      </c>
      <c r="R19" s="29" t="str">
        <f t="shared" si="15"/>
        <v/>
      </c>
      <c r="S19" s="23" t="str">
        <f>IF(B19&lt;&gt;"",IF(OR(B19=Segédlet!$J$6,B19=Segédlet!$J$7),0,IF(AND(B19=Segédlet!$J$5,E19&lt;10),IF(E19&lt;10,E19*70*K19,"700"),IF(B19 &lt;&gt; Segédlet!$J$5,0,700*K19))),"")</f>
        <v/>
      </c>
      <c r="T19" s="43" t="str">
        <f t="shared" si="16"/>
        <v/>
      </c>
    </row>
    <row r="20" spans="1:20" s="24" customFormat="1" x14ac:dyDescent="0.2">
      <c r="A20" s="26" t="str">
        <f t="shared" si="8"/>
        <v xml:space="preserve"> </v>
      </c>
      <c r="B20" s="27"/>
      <c r="C20" s="35"/>
      <c r="D20" s="42" t="str">
        <f>IF(C20&lt;&gt;"",INDEX(Segédlet!$B$5:$B$37,MATCH(C20,Segédlet!$C$5:$C$37,0)),"")</f>
        <v/>
      </c>
      <c r="E20" s="36"/>
      <c r="F20" s="25"/>
      <c r="G20" s="22" t="str">
        <f t="shared" si="9"/>
        <v/>
      </c>
      <c r="H20" s="25" t="str">
        <f t="shared" si="10"/>
        <v/>
      </c>
      <c r="I20" s="25" t="str">
        <f t="shared" si="11"/>
        <v/>
      </c>
      <c r="J20" s="25" t="str">
        <f t="shared" si="12"/>
        <v/>
      </c>
      <c r="K20" s="28"/>
      <c r="L20" s="28" t="str">
        <f t="shared" si="13"/>
        <v/>
      </c>
      <c r="M20" s="37"/>
      <c r="N20" s="23" t="str">
        <f>IF(B20&lt;&gt;"",IF(AND(I20&gt;0,R20&gt;0),(K20+J20-I20)*VLOOKUP(M20,Segédlet!$G$5:$H$12,2,0),(K20+J20)*VLOOKUP(M20,Segédlet!$G$5:$H$12,2,0)),"")</f>
        <v/>
      </c>
      <c r="O20" s="23" t="str">
        <f>IF(B20&lt;&gt;"",IF(G20&lt;=14,G20*J20*VLOOKUP(C20,Segédlet!$C$5:$E$37,2,0),J20*14*VLOOKUP(C20,Segédlet!$C$5:$E$37,2,0)+(G20-14)*J20*VLOOKUP(C20,Segédlet!$C$5:$E$37,3,0)),"")</f>
        <v/>
      </c>
      <c r="P20" s="23" t="str">
        <f>IF(B20&lt;&gt;"",IF(G20&lt;=14,G20*K20*VLOOKUP(C20,Segédlet!$C$5:$E$37,2,0),K20*14*VLOOKUP(C20,Segédlet!$C$5:$E$37,2,0)+(G20-14)*K20*VLOOKUP(C20,Segédlet!$C$5:$E$37,3,0)),"")</f>
        <v/>
      </c>
      <c r="Q20" s="29" t="str">
        <f t="shared" si="14"/>
        <v/>
      </c>
      <c r="R20" s="29" t="str">
        <f t="shared" si="15"/>
        <v/>
      </c>
      <c r="S20" s="23" t="str">
        <f>IF(B20&lt;&gt;"",IF(OR(B20=Segédlet!$J$6,B20=Segédlet!$J$7),0,IF(AND(B20=Segédlet!$J$5,E20&lt;10),IF(E20&lt;10,E20*70*K20,"700"),IF(B20 &lt;&gt; Segédlet!$J$5,0,700*K20))),"")</f>
        <v/>
      </c>
      <c r="T20" s="43" t="str">
        <f t="shared" si="16"/>
        <v/>
      </c>
    </row>
    <row r="21" spans="1:20" s="24" customFormat="1" x14ac:dyDescent="0.2">
      <c r="A21" s="26" t="str">
        <f t="shared" si="8"/>
        <v xml:space="preserve"> </v>
      </c>
      <c r="B21" s="27"/>
      <c r="C21" s="35"/>
      <c r="D21" s="42" t="str">
        <f>IF(C21&lt;&gt;"",INDEX(Segédlet!$B$5:$B$37,MATCH(C21,Segédlet!$C$5:$C$37,0)),"")</f>
        <v/>
      </c>
      <c r="E21" s="36"/>
      <c r="F21" s="25"/>
      <c r="G21" s="22" t="str">
        <f t="shared" si="9"/>
        <v/>
      </c>
      <c r="H21" s="25" t="str">
        <f t="shared" si="10"/>
        <v/>
      </c>
      <c r="I21" s="25" t="str">
        <f t="shared" si="11"/>
        <v/>
      </c>
      <c r="J21" s="25" t="str">
        <f t="shared" si="12"/>
        <v/>
      </c>
      <c r="K21" s="28"/>
      <c r="L21" s="28" t="str">
        <f t="shared" si="13"/>
        <v/>
      </c>
      <c r="M21" s="37"/>
      <c r="N21" s="23" t="str">
        <f>IF(B21&lt;&gt;"",IF(AND(I21&gt;0,R21&gt;0),(K21+J21-I21)*VLOOKUP(M21,Segédlet!$G$5:$H$12,2,0),(K21+J21)*VLOOKUP(M21,Segédlet!$G$5:$H$12,2,0)),"")</f>
        <v/>
      </c>
      <c r="O21" s="23" t="str">
        <f>IF(B21&lt;&gt;"",IF(G21&lt;=14,G21*J21*VLOOKUP(C21,Segédlet!$C$5:$E$37,2,0),J21*14*VLOOKUP(C21,Segédlet!$C$5:$E$37,2,0)+(G21-14)*J21*VLOOKUP(C21,Segédlet!$C$5:$E$37,3,0)),"")</f>
        <v/>
      </c>
      <c r="P21" s="23" t="str">
        <f>IF(B21&lt;&gt;"",IF(G21&lt;=14,G21*K21*VLOOKUP(C21,Segédlet!$C$5:$E$37,2,0),K21*14*VLOOKUP(C21,Segédlet!$C$5:$E$37,2,0)+(G21-14)*K21*VLOOKUP(C21,Segédlet!$C$5:$E$37,3,0)),"")</f>
        <v/>
      </c>
      <c r="Q21" s="29" t="str">
        <f t="shared" si="14"/>
        <v/>
      </c>
      <c r="R21" s="29" t="str">
        <f t="shared" si="15"/>
        <v/>
      </c>
      <c r="S21" s="23" t="str">
        <f>IF(B21&lt;&gt;"",IF(OR(B21=Segédlet!$J$6,B21=Segédlet!$J$7),0,IF(AND(B21=Segédlet!$J$5,E21&lt;10),IF(E21&lt;10,E21*70*K21,"700"),IF(B21 &lt;&gt; Segédlet!$J$5,0,700*K21))),"")</f>
        <v/>
      </c>
      <c r="T21" s="43" t="str">
        <f t="shared" si="16"/>
        <v/>
      </c>
    </row>
    <row r="22" spans="1:20" s="24" customFormat="1" x14ac:dyDescent="0.2">
      <c r="A22" s="26" t="str">
        <f t="shared" si="8"/>
        <v xml:space="preserve"> </v>
      </c>
      <c r="B22" s="27"/>
      <c r="C22" s="35"/>
      <c r="D22" s="42" t="str">
        <f>IF(C22&lt;&gt;"",INDEX(Segédlet!$B$5:$B$37,MATCH(C22,Segédlet!$C$5:$C$37,0)),"")</f>
        <v/>
      </c>
      <c r="E22" s="36"/>
      <c r="F22" s="25"/>
      <c r="G22" s="22" t="str">
        <f t="shared" si="9"/>
        <v/>
      </c>
      <c r="H22" s="25" t="str">
        <f t="shared" si="10"/>
        <v/>
      </c>
      <c r="I22" s="25" t="str">
        <f t="shared" si="11"/>
        <v/>
      </c>
      <c r="J22" s="25" t="str">
        <f t="shared" si="12"/>
        <v/>
      </c>
      <c r="K22" s="28"/>
      <c r="L22" s="28" t="str">
        <f t="shared" si="13"/>
        <v/>
      </c>
      <c r="M22" s="37"/>
      <c r="N22" s="23" t="str">
        <f>IF(B22&lt;&gt;"",IF(AND(I22&gt;0,R22&gt;0),(K22+J22-I22)*VLOOKUP(M22,Segédlet!$G$5:$H$12,2,0),(K22+J22)*VLOOKUP(M22,Segédlet!$G$5:$H$12,2,0)),"")</f>
        <v/>
      </c>
      <c r="O22" s="23" t="str">
        <f>IF(B22&lt;&gt;"",IF(G22&lt;=14,G22*J22*VLOOKUP(C22,Segédlet!$C$5:$E$37,2,0),J22*14*VLOOKUP(C22,Segédlet!$C$5:$E$37,2,0)+(G22-14)*J22*VLOOKUP(C22,Segédlet!$C$5:$E$37,3,0)),"")</f>
        <v/>
      </c>
      <c r="P22" s="23" t="str">
        <f>IF(B22&lt;&gt;"",IF(G22&lt;=14,G22*K22*VLOOKUP(C22,Segédlet!$C$5:$E$37,2,0),K22*14*VLOOKUP(C22,Segédlet!$C$5:$E$37,2,0)+(G22-14)*K22*VLOOKUP(C22,Segédlet!$C$5:$E$37,3,0)),"")</f>
        <v/>
      </c>
      <c r="Q22" s="29" t="str">
        <f t="shared" si="14"/>
        <v/>
      </c>
      <c r="R22" s="29" t="str">
        <f t="shared" si="15"/>
        <v/>
      </c>
      <c r="S22" s="23" t="str">
        <f>IF(B22&lt;&gt;"",IF(OR(B22=Segédlet!$J$6,B22=Segédlet!$J$7),0,IF(AND(B22=Segédlet!$J$5,E22&lt;10),IF(E22&lt;10,E22*70*K22,"700"),IF(B22 &lt;&gt; Segédlet!$J$5,0,700*K22))),"")</f>
        <v/>
      </c>
      <c r="T22" s="43" t="str">
        <f t="shared" si="16"/>
        <v/>
      </c>
    </row>
    <row r="23" spans="1:20" s="24" customFormat="1" x14ac:dyDescent="0.2">
      <c r="A23" s="26" t="str">
        <f t="shared" si="8"/>
        <v xml:space="preserve"> </v>
      </c>
      <c r="B23" s="27"/>
      <c r="C23" s="35"/>
      <c r="D23" s="42" t="str">
        <f>IF(C23&lt;&gt;"",INDEX(Segédlet!$B$5:$B$37,MATCH(C23,Segédlet!$C$5:$C$37,0)),"")</f>
        <v/>
      </c>
      <c r="E23" s="36"/>
      <c r="F23" s="25"/>
      <c r="G23" s="22" t="str">
        <f t="shared" si="9"/>
        <v/>
      </c>
      <c r="H23" s="25" t="str">
        <f t="shared" si="10"/>
        <v/>
      </c>
      <c r="I23" s="25" t="str">
        <f t="shared" si="11"/>
        <v/>
      </c>
      <c r="J23" s="25" t="str">
        <f t="shared" si="12"/>
        <v/>
      </c>
      <c r="K23" s="28"/>
      <c r="L23" s="28" t="str">
        <f t="shared" si="13"/>
        <v/>
      </c>
      <c r="M23" s="37"/>
      <c r="N23" s="23" t="str">
        <f>IF(B23&lt;&gt;"",IF(AND(I23&gt;0,R23&gt;0),(K23+J23-I23)*VLOOKUP(M23,Segédlet!$G$5:$H$12,2,0),(K23+J23)*VLOOKUP(M23,Segédlet!$G$5:$H$12,2,0)),"")</f>
        <v/>
      </c>
      <c r="O23" s="23" t="str">
        <f>IF(B23&lt;&gt;"",IF(G23&lt;=14,G23*J23*VLOOKUP(C23,Segédlet!$C$5:$E$37,2,0),J23*14*VLOOKUP(C23,Segédlet!$C$5:$E$37,2,0)+(G23-14)*J23*VLOOKUP(C23,Segédlet!$C$5:$E$37,3,0)),"")</f>
        <v/>
      </c>
      <c r="P23" s="23" t="str">
        <f>IF(B23&lt;&gt;"",IF(G23&lt;=14,G23*K23*VLOOKUP(C23,Segédlet!$C$5:$E$37,2,0),K23*14*VLOOKUP(C23,Segédlet!$C$5:$E$37,2,0)+(G23-14)*K23*VLOOKUP(C23,Segédlet!$C$5:$E$37,3,0)),"")</f>
        <v/>
      </c>
      <c r="Q23" s="29" t="str">
        <f t="shared" si="14"/>
        <v/>
      </c>
      <c r="R23" s="29" t="str">
        <f t="shared" si="15"/>
        <v/>
      </c>
      <c r="S23" s="23" t="str">
        <f>IF(B23&lt;&gt;"",IF(OR(B23=Segédlet!$J$6,B23=Segédlet!$J$7),0,IF(AND(B23=Segédlet!$J$5,E23&lt;10),IF(E23&lt;10,E23*70*K23,"700"),IF(B23 &lt;&gt; Segédlet!$J$5,0,700*K23))),"")</f>
        <v/>
      </c>
      <c r="T23" s="43" t="str">
        <f t="shared" si="16"/>
        <v/>
      </c>
    </row>
    <row r="24" spans="1:20" s="24" customFormat="1" x14ac:dyDescent="0.2">
      <c r="A24" s="26" t="str">
        <f t="shared" si="8"/>
        <v xml:space="preserve"> </v>
      </c>
      <c r="B24" s="27"/>
      <c r="C24" s="35"/>
      <c r="D24" s="42" t="str">
        <f>IF(C24&lt;&gt;"",INDEX(Segédlet!$B$5:$B$37,MATCH(C24,Segédlet!$C$5:$C$37,0)),"")</f>
        <v/>
      </c>
      <c r="E24" s="36"/>
      <c r="F24" s="25"/>
      <c r="G24" s="22" t="str">
        <f t="shared" si="9"/>
        <v/>
      </c>
      <c r="H24" s="25" t="str">
        <f t="shared" si="10"/>
        <v/>
      </c>
      <c r="I24" s="25" t="str">
        <f t="shared" si="11"/>
        <v/>
      </c>
      <c r="J24" s="25" t="str">
        <f t="shared" si="12"/>
        <v/>
      </c>
      <c r="K24" s="28"/>
      <c r="L24" s="28" t="str">
        <f t="shared" si="13"/>
        <v/>
      </c>
      <c r="M24" s="37"/>
      <c r="N24" s="23" t="str">
        <f>IF(B24&lt;&gt;"",IF(AND(I24&gt;0,R24&gt;0),(K24+J24-I24)*VLOOKUP(M24,Segédlet!$G$5:$H$12,2,0),(K24+J24)*VLOOKUP(M24,Segédlet!$G$5:$H$12,2,0)),"")</f>
        <v/>
      </c>
      <c r="O24" s="23" t="str">
        <f>IF(B24&lt;&gt;"",IF(G24&lt;=14,G24*J24*VLOOKUP(C24,Segédlet!$C$5:$E$37,2,0),J24*14*VLOOKUP(C24,Segédlet!$C$5:$E$37,2,0)+(G24-14)*J24*VLOOKUP(C24,Segédlet!$C$5:$E$37,3,0)),"")</f>
        <v/>
      </c>
      <c r="P24" s="23" t="str">
        <f>IF(B24&lt;&gt;"",IF(G24&lt;=14,G24*K24*VLOOKUP(C24,Segédlet!$C$5:$E$37,2,0),K24*14*VLOOKUP(C24,Segédlet!$C$5:$E$37,2,0)+(G24-14)*K24*VLOOKUP(C24,Segédlet!$C$5:$E$37,3,0)),"")</f>
        <v/>
      </c>
      <c r="Q24" s="29" t="str">
        <f t="shared" si="14"/>
        <v/>
      </c>
      <c r="R24" s="29" t="str">
        <f t="shared" si="15"/>
        <v/>
      </c>
      <c r="S24" s="23" t="str">
        <f>IF(B24&lt;&gt;"",IF(OR(B24=Segédlet!$J$6,B24=Segédlet!$J$7),0,IF(AND(B24=Segédlet!$J$5,E24&lt;10),IF(E24&lt;10,E24*70*K24,"700"),IF(B24 &lt;&gt; Segédlet!$J$5,0,700*K24))),"")</f>
        <v/>
      </c>
      <c r="T24" s="43" t="str">
        <f t="shared" si="16"/>
        <v/>
      </c>
    </row>
    <row r="25" spans="1:20" s="24" customFormat="1" x14ac:dyDescent="0.2">
      <c r="A25" s="26" t="str">
        <f t="shared" si="8"/>
        <v xml:space="preserve"> </v>
      </c>
      <c r="B25" s="27"/>
      <c r="C25" s="35"/>
      <c r="D25" s="42" t="str">
        <f>IF(C25&lt;&gt;"",INDEX(Segédlet!$B$5:$B$37,MATCH(C25,Segédlet!$C$5:$C$37,0)),"")</f>
        <v/>
      </c>
      <c r="E25" s="36"/>
      <c r="F25" s="25"/>
      <c r="G25" s="22" t="str">
        <f t="shared" si="9"/>
        <v/>
      </c>
      <c r="H25" s="25" t="str">
        <f t="shared" si="10"/>
        <v/>
      </c>
      <c r="I25" s="25" t="str">
        <f t="shared" si="11"/>
        <v/>
      </c>
      <c r="J25" s="25" t="str">
        <f t="shared" si="12"/>
        <v/>
      </c>
      <c r="K25" s="28"/>
      <c r="L25" s="28" t="str">
        <f t="shared" si="13"/>
        <v/>
      </c>
      <c r="M25" s="37"/>
      <c r="N25" s="23" t="str">
        <f>IF(B25&lt;&gt;"",IF(AND(I25&gt;0,R25&gt;0),(K25+J25-I25)*VLOOKUP(M25,Segédlet!$G$5:$H$12,2,0),(K25+J25)*VLOOKUP(M25,Segédlet!$G$5:$H$12,2,0)),"")</f>
        <v/>
      </c>
      <c r="O25" s="23" t="str">
        <f>IF(B25&lt;&gt;"",IF(G25&lt;=14,G25*J25*VLOOKUP(C25,Segédlet!$C$5:$E$37,2,0),J25*14*VLOOKUP(C25,Segédlet!$C$5:$E$37,2,0)+(G25-14)*J25*VLOOKUP(C25,Segédlet!$C$5:$E$37,3,0)),"")</f>
        <v/>
      </c>
      <c r="P25" s="23" t="str">
        <f>IF(B25&lt;&gt;"",IF(G25&lt;=14,G25*K25*VLOOKUP(C25,Segédlet!$C$5:$E$37,2,0),K25*14*VLOOKUP(C25,Segédlet!$C$5:$E$37,2,0)+(G25-14)*K25*VLOOKUP(C25,Segédlet!$C$5:$E$37,3,0)),"")</f>
        <v/>
      </c>
      <c r="Q25" s="29" t="str">
        <f t="shared" si="14"/>
        <v/>
      </c>
      <c r="R25" s="29" t="str">
        <f t="shared" si="15"/>
        <v/>
      </c>
      <c r="S25" s="23" t="str">
        <f>IF(B25&lt;&gt;"",IF(OR(B25=Segédlet!$J$6,B25=Segédlet!$J$7),0,IF(AND(B25=Segédlet!$J$5,E25&lt;10),IF(E25&lt;10,E25*70*K25,"700"),IF(B25 &lt;&gt; Segédlet!$J$5,0,700*K25))),"")</f>
        <v/>
      </c>
      <c r="T25" s="43" t="str">
        <f t="shared" si="16"/>
        <v/>
      </c>
    </row>
    <row r="26" spans="1:20" s="24" customFormat="1" x14ac:dyDescent="0.2">
      <c r="A26" s="26" t="str">
        <f t="shared" si="8"/>
        <v xml:space="preserve"> </v>
      </c>
      <c r="B26" s="27"/>
      <c r="C26" s="35"/>
      <c r="D26" s="42" t="str">
        <f>IF(C26&lt;&gt;"",INDEX(Segédlet!$B$5:$B$37,MATCH(C26,Segédlet!$C$5:$C$37,0)),"")</f>
        <v/>
      </c>
      <c r="E26" s="36"/>
      <c r="F26" s="25"/>
      <c r="G26" s="22" t="str">
        <f t="shared" si="9"/>
        <v/>
      </c>
      <c r="H26" s="25" t="str">
        <f t="shared" si="10"/>
        <v/>
      </c>
      <c r="I26" s="25" t="str">
        <f t="shared" si="11"/>
        <v/>
      </c>
      <c r="J26" s="25" t="str">
        <f t="shared" si="12"/>
        <v/>
      </c>
      <c r="K26" s="28"/>
      <c r="L26" s="28" t="str">
        <f t="shared" si="13"/>
        <v/>
      </c>
      <c r="M26" s="37"/>
      <c r="N26" s="23" t="str">
        <f>IF(B26&lt;&gt;"",IF(AND(I26&gt;0,R26&gt;0),(K26+J26-I26)*VLOOKUP(M26,Segédlet!$G$5:$H$12,2,0),(K26+J26)*VLOOKUP(M26,Segédlet!$G$5:$H$12,2,0)),"")</f>
        <v/>
      </c>
      <c r="O26" s="23" t="str">
        <f>IF(B26&lt;&gt;"",IF(G26&lt;=14,G26*J26*VLOOKUP(C26,Segédlet!$C$5:$E$37,2,0),J26*14*VLOOKUP(C26,Segédlet!$C$5:$E$37,2,0)+(G26-14)*J26*VLOOKUP(C26,Segédlet!$C$5:$E$37,3,0)),"")</f>
        <v/>
      </c>
      <c r="P26" s="23" t="str">
        <f>IF(B26&lt;&gt;"",IF(G26&lt;=14,G26*K26*VLOOKUP(C26,Segédlet!$C$5:$E$37,2,0),K26*14*VLOOKUP(C26,Segédlet!$C$5:$E$37,2,0)+(G26-14)*K26*VLOOKUP(C26,Segédlet!$C$5:$E$37,3,0)),"")</f>
        <v/>
      </c>
      <c r="Q26" s="29" t="str">
        <f t="shared" si="14"/>
        <v/>
      </c>
      <c r="R26" s="29" t="str">
        <f t="shared" si="15"/>
        <v/>
      </c>
      <c r="S26" s="23" t="str">
        <f>IF(B26&lt;&gt;"",IF(OR(B26=Segédlet!$J$6,B26=Segédlet!$J$7),0,IF(AND(B26=Segédlet!$J$5,E26&lt;10),IF(E26&lt;10,E26*70*K26,"700"),IF(B26 &lt;&gt; Segédlet!$J$5,0,700*K26))),"")</f>
        <v/>
      </c>
      <c r="T26" s="43" t="str">
        <f t="shared" si="16"/>
        <v/>
      </c>
    </row>
    <row r="27" spans="1:20" s="24" customFormat="1" x14ac:dyDescent="0.2">
      <c r="A27" s="26" t="str">
        <f t="shared" si="8"/>
        <v xml:space="preserve"> </v>
      </c>
      <c r="B27" s="27"/>
      <c r="C27" s="35"/>
      <c r="D27" s="42" t="str">
        <f>IF(C27&lt;&gt;"",INDEX(Segédlet!$B$5:$B$37,MATCH(C27,Segédlet!$C$5:$C$37,0)),"")</f>
        <v/>
      </c>
      <c r="E27" s="36"/>
      <c r="F27" s="25"/>
      <c r="G27" s="22" t="str">
        <f t="shared" si="9"/>
        <v/>
      </c>
      <c r="H27" s="25" t="str">
        <f t="shared" si="10"/>
        <v/>
      </c>
      <c r="I27" s="25" t="str">
        <f t="shared" si="11"/>
        <v/>
      </c>
      <c r="J27" s="25" t="str">
        <f t="shared" si="12"/>
        <v/>
      </c>
      <c r="K27" s="28"/>
      <c r="L27" s="28" t="str">
        <f t="shared" si="13"/>
        <v/>
      </c>
      <c r="M27" s="37"/>
      <c r="N27" s="23" t="str">
        <f>IF(B27&lt;&gt;"",IF(AND(I27&gt;0,R27&gt;0),(K27+J27-I27)*VLOOKUP(M27,Segédlet!$G$5:$H$12,2,0),(K27+J27)*VLOOKUP(M27,Segédlet!$G$5:$H$12,2,0)),"")</f>
        <v/>
      </c>
      <c r="O27" s="23" t="str">
        <f>IF(B27&lt;&gt;"",IF(G27&lt;=14,G27*J27*VLOOKUP(C27,Segédlet!$C$5:$E$37,2,0),J27*14*VLOOKUP(C27,Segédlet!$C$5:$E$37,2,0)+(G27-14)*J27*VLOOKUP(C27,Segédlet!$C$5:$E$37,3,0)),"")</f>
        <v/>
      </c>
      <c r="P27" s="23" t="str">
        <f>IF(B27&lt;&gt;"",IF(G27&lt;=14,G27*K27*VLOOKUP(C27,Segédlet!$C$5:$E$37,2,0),K27*14*VLOOKUP(C27,Segédlet!$C$5:$E$37,2,0)+(G27-14)*K27*VLOOKUP(C27,Segédlet!$C$5:$E$37,3,0)),"")</f>
        <v/>
      </c>
      <c r="Q27" s="29" t="str">
        <f t="shared" si="14"/>
        <v/>
      </c>
      <c r="R27" s="29" t="str">
        <f t="shared" si="15"/>
        <v/>
      </c>
      <c r="S27" s="23" t="str">
        <f>IF(B27&lt;&gt;"",IF(OR(B27=Segédlet!$J$6,B27=Segédlet!$J$7),0,IF(AND(B27=Segédlet!$J$5,E27&lt;10),IF(E27&lt;10,E27*70*K27,"700"),IF(B27 &lt;&gt; Segédlet!$J$5,0,700*K27))),"")</f>
        <v/>
      </c>
      <c r="T27" s="43" t="str">
        <f t="shared" si="16"/>
        <v/>
      </c>
    </row>
    <row r="28" spans="1:20" s="24" customFormat="1" x14ac:dyDescent="0.2">
      <c r="A28" s="26" t="str">
        <f t="shared" si="8"/>
        <v xml:space="preserve"> </v>
      </c>
      <c r="B28" s="27"/>
      <c r="C28" s="35"/>
      <c r="D28" s="42" t="str">
        <f>IF(C28&lt;&gt;"",INDEX(Segédlet!$B$5:$B$37,MATCH(C28,Segédlet!$C$5:$C$37,0)),"")</f>
        <v/>
      </c>
      <c r="E28" s="36"/>
      <c r="F28" s="25"/>
      <c r="G28" s="22" t="str">
        <f t="shared" si="9"/>
        <v/>
      </c>
      <c r="H28" s="25" t="str">
        <f t="shared" si="10"/>
        <v/>
      </c>
      <c r="I28" s="25" t="str">
        <f t="shared" si="11"/>
        <v/>
      </c>
      <c r="J28" s="25" t="str">
        <f t="shared" si="12"/>
        <v/>
      </c>
      <c r="K28" s="28"/>
      <c r="L28" s="28" t="str">
        <f t="shared" si="13"/>
        <v/>
      </c>
      <c r="M28" s="37"/>
      <c r="N28" s="23" t="str">
        <f>IF(B28&lt;&gt;"",IF(AND(I28&gt;0,R28&gt;0),(K28+J28-I28)*VLOOKUP(M28,Segédlet!$G$5:$H$12,2,0),(K28+J28)*VLOOKUP(M28,Segédlet!$G$5:$H$12,2,0)),"")</f>
        <v/>
      </c>
      <c r="O28" s="23" t="str">
        <f>IF(B28&lt;&gt;"",IF(G28&lt;=14,G28*J28*VLOOKUP(C28,Segédlet!$C$5:$E$37,2,0),J28*14*VLOOKUP(C28,Segédlet!$C$5:$E$37,2,0)+(G28-14)*J28*VLOOKUP(C28,Segédlet!$C$5:$E$37,3,0)),"")</f>
        <v/>
      </c>
      <c r="P28" s="23" t="str">
        <f>IF(B28&lt;&gt;"",IF(G28&lt;=14,G28*K28*VLOOKUP(C28,Segédlet!$C$5:$E$37,2,0),K28*14*VLOOKUP(C28,Segédlet!$C$5:$E$37,2,0)+(G28-14)*K28*VLOOKUP(C28,Segédlet!$C$5:$E$37,3,0)),"")</f>
        <v/>
      </c>
      <c r="Q28" s="29" t="str">
        <f t="shared" si="14"/>
        <v/>
      </c>
      <c r="R28" s="29" t="str">
        <f t="shared" si="15"/>
        <v/>
      </c>
      <c r="S28" s="23" t="str">
        <f>IF(B28&lt;&gt;"",IF(OR(B28=Segédlet!$J$6,B28=Segédlet!$J$7),0,IF(AND(B28=Segédlet!$J$5,E28&lt;10),IF(E28&lt;10,E28*70*K28,"700"),IF(B28 &lt;&gt; Segédlet!$J$5,0,700*K28))),"")</f>
        <v/>
      </c>
      <c r="T28" s="43" t="str">
        <f t="shared" si="16"/>
        <v/>
      </c>
    </row>
    <row r="29" spans="1:20" s="24" customFormat="1" x14ac:dyDescent="0.2">
      <c r="A29" s="26" t="str">
        <f t="shared" si="8"/>
        <v xml:space="preserve"> </v>
      </c>
      <c r="B29" s="27"/>
      <c r="C29" s="35"/>
      <c r="D29" s="42" t="str">
        <f>IF(C29&lt;&gt;"",INDEX(Segédlet!$B$5:$B$37,MATCH(C29,Segédlet!$C$5:$C$37,0)),"")</f>
        <v/>
      </c>
      <c r="E29" s="36"/>
      <c r="F29" s="25"/>
      <c r="G29" s="22" t="str">
        <f t="shared" si="9"/>
        <v/>
      </c>
      <c r="H29" s="25" t="str">
        <f t="shared" si="10"/>
        <v/>
      </c>
      <c r="I29" s="25" t="str">
        <f t="shared" si="11"/>
        <v/>
      </c>
      <c r="J29" s="25" t="str">
        <f t="shared" si="12"/>
        <v/>
      </c>
      <c r="K29" s="28"/>
      <c r="L29" s="28" t="str">
        <f t="shared" si="13"/>
        <v/>
      </c>
      <c r="M29" s="37"/>
      <c r="N29" s="23" t="str">
        <f>IF(B29&lt;&gt;"",IF(AND(I29&gt;0,R29&gt;0),(K29+J29-I29)*VLOOKUP(M29,Segédlet!$G$5:$H$12,2,0),(K29+J29)*VLOOKUP(M29,Segédlet!$G$5:$H$12,2,0)),"")</f>
        <v/>
      </c>
      <c r="O29" s="23" t="str">
        <f>IF(B29&lt;&gt;"",IF(G29&lt;=14,G29*J29*VLOOKUP(C29,Segédlet!$C$5:$E$37,2,0),J29*14*VLOOKUP(C29,Segédlet!$C$5:$E$37,2,0)+(G29-14)*J29*VLOOKUP(C29,Segédlet!$C$5:$E$37,3,0)),"")</f>
        <v/>
      </c>
      <c r="P29" s="23" t="str">
        <f>IF(B29&lt;&gt;"",IF(G29&lt;=14,G29*K29*VLOOKUP(C29,Segédlet!$C$5:$E$37,2,0),K29*14*VLOOKUP(C29,Segédlet!$C$5:$E$37,2,0)+(G29-14)*K29*VLOOKUP(C29,Segédlet!$C$5:$E$37,3,0)),"")</f>
        <v/>
      </c>
      <c r="Q29" s="29" t="str">
        <f t="shared" si="14"/>
        <v/>
      </c>
      <c r="R29" s="29" t="str">
        <f t="shared" si="15"/>
        <v/>
      </c>
      <c r="S29" s="23" t="str">
        <f>IF(B29&lt;&gt;"",IF(OR(B29=Segédlet!$J$6,B29=Segédlet!$J$7),0,IF(AND(B29=Segédlet!$J$5,E29&lt;10),IF(E29&lt;10,E29*70*K29,"700"),IF(B29 &lt;&gt; Segédlet!$J$5,0,700*K29))),"")</f>
        <v/>
      </c>
      <c r="T29" s="43" t="str">
        <f t="shared" si="16"/>
        <v/>
      </c>
    </row>
    <row r="30" spans="1:20" s="24" customFormat="1" x14ac:dyDescent="0.2">
      <c r="A30" s="26" t="str">
        <f t="shared" si="8"/>
        <v xml:space="preserve"> </v>
      </c>
      <c r="B30" s="27"/>
      <c r="C30" s="35"/>
      <c r="D30" s="42" t="str">
        <f>IF(C30&lt;&gt;"",INDEX(Segédlet!$B$5:$B$37,MATCH(C30,Segédlet!$C$5:$C$37,0)),"")</f>
        <v/>
      </c>
      <c r="E30" s="36"/>
      <c r="F30" s="25"/>
      <c r="G30" s="22" t="str">
        <f t="shared" si="9"/>
        <v/>
      </c>
      <c r="H30" s="25" t="str">
        <f t="shared" si="10"/>
        <v/>
      </c>
      <c r="I30" s="25" t="str">
        <f t="shared" si="11"/>
        <v/>
      </c>
      <c r="J30" s="25" t="str">
        <f t="shared" si="12"/>
        <v/>
      </c>
      <c r="K30" s="28"/>
      <c r="L30" s="28" t="str">
        <f t="shared" si="13"/>
        <v/>
      </c>
      <c r="M30" s="37"/>
      <c r="N30" s="23" t="str">
        <f>IF(B30&lt;&gt;"",IF(AND(I30&gt;0,R30&gt;0),(K30+J30-I30)*VLOOKUP(M30,Segédlet!$G$5:$H$12,2,0),(K30+J30)*VLOOKUP(M30,Segédlet!$G$5:$H$12,2,0)),"")</f>
        <v/>
      </c>
      <c r="O30" s="23" t="str">
        <f>IF(B30&lt;&gt;"",IF(G30&lt;=14,G30*J30*VLOOKUP(C30,Segédlet!$C$5:$E$37,2,0),J30*14*VLOOKUP(C30,Segédlet!$C$5:$E$37,2,0)+(G30-14)*J30*VLOOKUP(C30,Segédlet!$C$5:$E$37,3,0)),"")</f>
        <v/>
      </c>
      <c r="P30" s="23" t="str">
        <f>IF(B30&lt;&gt;"",IF(G30&lt;=14,G30*K30*VLOOKUP(C30,Segédlet!$C$5:$E$37,2,0),K30*14*VLOOKUP(C30,Segédlet!$C$5:$E$37,2,0)+(G30-14)*K30*VLOOKUP(C30,Segédlet!$C$5:$E$37,3,0)),"")</f>
        <v/>
      </c>
      <c r="Q30" s="29" t="str">
        <f t="shared" si="14"/>
        <v/>
      </c>
      <c r="R30" s="29" t="str">
        <f t="shared" si="15"/>
        <v/>
      </c>
      <c r="S30" s="23" t="str">
        <f>IF(B30&lt;&gt;"",IF(OR(B30=Segédlet!$J$6,B30=Segédlet!$J$7),0,IF(AND(B30=Segédlet!$J$5,E30&lt;10),IF(E30&lt;10,E30*70*K30,"700"),IF(B30 &lt;&gt; Segédlet!$J$5,0,700*K30))),"")</f>
        <v/>
      </c>
      <c r="T30" s="43" t="str">
        <f t="shared" si="16"/>
        <v/>
      </c>
    </row>
    <row r="31" spans="1:20" s="24" customFormat="1" x14ac:dyDescent="0.2">
      <c r="A31" s="26" t="str">
        <f t="shared" si="8"/>
        <v xml:space="preserve"> </v>
      </c>
      <c r="B31" s="27"/>
      <c r="C31" s="35"/>
      <c r="D31" s="42" t="str">
        <f>IF(C31&lt;&gt;"",INDEX(Segédlet!$B$5:$B$37,MATCH(C31,Segédlet!$C$5:$C$37,0)),"")</f>
        <v/>
      </c>
      <c r="E31" s="36"/>
      <c r="F31" s="25"/>
      <c r="G31" s="22" t="str">
        <f t="shared" si="9"/>
        <v/>
      </c>
      <c r="H31" s="25" t="str">
        <f t="shared" si="10"/>
        <v/>
      </c>
      <c r="I31" s="25" t="str">
        <f t="shared" si="11"/>
        <v/>
      </c>
      <c r="J31" s="25" t="str">
        <f t="shared" si="12"/>
        <v/>
      </c>
      <c r="K31" s="28"/>
      <c r="L31" s="28" t="str">
        <f t="shared" si="13"/>
        <v/>
      </c>
      <c r="M31" s="37"/>
      <c r="N31" s="23" t="str">
        <f>IF(B31&lt;&gt;"",IF(AND(I31&gt;0,R31&gt;0),(K31+J31-I31)*VLOOKUP(M31,Segédlet!$G$5:$H$12,2,0),(K31+J31)*VLOOKUP(M31,Segédlet!$G$5:$H$12,2,0)),"")</f>
        <v/>
      </c>
      <c r="O31" s="23" t="str">
        <f>IF(B31&lt;&gt;"",IF(G31&lt;=14,G31*J31*VLOOKUP(C31,Segédlet!$C$5:$E$37,2,0),J31*14*VLOOKUP(C31,Segédlet!$C$5:$E$37,2,0)+(G31-14)*J31*VLOOKUP(C31,Segédlet!$C$5:$E$37,3,0)),"")</f>
        <v/>
      </c>
      <c r="P31" s="23" t="str">
        <f>IF(B31&lt;&gt;"",IF(G31&lt;=14,G31*K31*VLOOKUP(C31,Segédlet!$C$5:$E$37,2,0),K31*14*VLOOKUP(C31,Segédlet!$C$5:$E$37,2,0)+(G31-14)*K31*VLOOKUP(C31,Segédlet!$C$5:$E$37,3,0)),"")</f>
        <v/>
      </c>
      <c r="Q31" s="29" t="str">
        <f t="shared" si="14"/>
        <v/>
      </c>
      <c r="R31" s="29" t="str">
        <f t="shared" si="15"/>
        <v/>
      </c>
      <c r="S31" s="23" t="str">
        <f>IF(B31&lt;&gt;"",IF(OR(B31=Segédlet!$J$6,B31=Segédlet!$J$7),0,IF(AND(B31=Segédlet!$J$5,E31&lt;10),IF(E31&lt;10,E31*70*K31,"700"),IF(B31 &lt;&gt; Segédlet!$J$5,0,700*K31))),"")</f>
        <v/>
      </c>
      <c r="T31" s="43" t="str">
        <f t="shared" si="16"/>
        <v/>
      </c>
    </row>
    <row r="32" spans="1:20" s="24" customFormat="1" x14ac:dyDescent="0.2">
      <c r="A32" s="26" t="str">
        <f t="shared" si="8"/>
        <v xml:space="preserve"> </v>
      </c>
      <c r="B32" s="27"/>
      <c r="C32" s="35"/>
      <c r="D32" s="42" t="str">
        <f>IF(C32&lt;&gt;"",INDEX(Segédlet!$B$5:$B$37,MATCH(C32,Segédlet!$C$5:$C$37,0)),"")</f>
        <v/>
      </c>
      <c r="E32" s="36"/>
      <c r="F32" s="25"/>
      <c r="G32" s="22" t="str">
        <f t="shared" si="9"/>
        <v/>
      </c>
      <c r="H32" s="25" t="str">
        <f t="shared" si="10"/>
        <v/>
      </c>
      <c r="I32" s="25" t="str">
        <f t="shared" si="11"/>
        <v/>
      </c>
      <c r="J32" s="25" t="str">
        <f t="shared" si="12"/>
        <v/>
      </c>
      <c r="K32" s="28"/>
      <c r="L32" s="28" t="str">
        <f t="shared" si="13"/>
        <v/>
      </c>
      <c r="M32" s="37"/>
      <c r="N32" s="23" t="str">
        <f>IF(B32&lt;&gt;"",IF(AND(I32&gt;0,R32&gt;0),(K32+J32-I32)*VLOOKUP(M32,Segédlet!$G$5:$H$12,2,0),(K32+J32)*VLOOKUP(M32,Segédlet!$G$5:$H$12,2,0)),"")</f>
        <v/>
      </c>
      <c r="O32" s="23" t="str">
        <f>IF(B32&lt;&gt;"",IF(G32&lt;=14,G32*J32*VLOOKUP(C32,Segédlet!$C$5:$E$37,2,0),J32*14*VLOOKUP(C32,Segédlet!$C$5:$E$37,2,0)+(G32-14)*J32*VLOOKUP(C32,Segédlet!$C$5:$E$37,3,0)),"")</f>
        <v/>
      </c>
      <c r="P32" s="23" t="str">
        <f>IF(B32&lt;&gt;"",IF(G32&lt;=14,G32*K32*VLOOKUP(C32,Segédlet!$C$5:$E$37,2,0),K32*14*VLOOKUP(C32,Segédlet!$C$5:$E$37,2,0)+(G32-14)*K32*VLOOKUP(C32,Segédlet!$C$5:$E$37,3,0)),"")</f>
        <v/>
      </c>
      <c r="Q32" s="29" t="str">
        <f t="shared" si="14"/>
        <v/>
      </c>
      <c r="R32" s="29" t="str">
        <f t="shared" si="15"/>
        <v/>
      </c>
      <c r="S32" s="23" t="str">
        <f>IF(B32&lt;&gt;"",IF(OR(B32=Segédlet!$J$6,B32=Segédlet!$J$7),0,IF(AND(B32=Segédlet!$J$5,E32&lt;10),IF(E32&lt;10,E32*70*K32,"700"),IF(B32 &lt;&gt; Segédlet!$J$5,0,700*K32))),"")</f>
        <v/>
      </c>
      <c r="T32" s="43" t="str">
        <f t="shared" si="16"/>
        <v/>
      </c>
    </row>
    <row r="33" spans="1:20" s="24" customFormat="1" x14ac:dyDescent="0.2">
      <c r="A33" s="26" t="str">
        <f t="shared" si="8"/>
        <v xml:space="preserve"> </v>
      </c>
      <c r="B33" s="27"/>
      <c r="C33" s="35"/>
      <c r="D33" s="42" t="str">
        <f>IF(C33&lt;&gt;"",INDEX(Segédlet!$B$5:$B$37,MATCH(C33,Segédlet!$C$5:$C$37,0)),"")</f>
        <v/>
      </c>
      <c r="E33" s="36"/>
      <c r="F33" s="25"/>
      <c r="G33" s="22" t="str">
        <f t="shared" si="9"/>
        <v/>
      </c>
      <c r="H33" s="25" t="str">
        <f t="shared" si="10"/>
        <v/>
      </c>
      <c r="I33" s="25" t="str">
        <f t="shared" si="11"/>
        <v/>
      </c>
      <c r="J33" s="25" t="str">
        <f t="shared" si="12"/>
        <v/>
      </c>
      <c r="K33" s="28"/>
      <c r="L33" s="28" t="str">
        <f t="shared" si="13"/>
        <v/>
      </c>
      <c r="M33" s="37"/>
      <c r="N33" s="23" t="str">
        <f>IF(B33&lt;&gt;"",IF(AND(I33&gt;0,R33&gt;0),(K33+J33-I33)*VLOOKUP(M33,Segédlet!$G$5:$H$12,2,0),(K33+J33)*VLOOKUP(M33,Segédlet!$G$5:$H$12,2,0)),"")</f>
        <v/>
      </c>
      <c r="O33" s="23" t="str">
        <f>IF(B33&lt;&gt;"",IF(G33&lt;=14,G33*J33*VLOOKUP(C33,Segédlet!$C$5:$E$37,2,0),J33*14*VLOOKUP(C33,Segédlet!$C$5:$E$37,2,0)+(G33-14)*J33*VLOOKUP(C33,Segédlet!$C$5:$E$37,3,0)),"")</f>
        <v/>
      </c>
      <c r="P33" s="23" t="str">
        <f>IF(B33&lt;&gt;"",IF(G33&lt;=14,G33*K33*VLOOKUP(C33,Segédlet!$C$5:$E$37,2,0),K33*14*VLOOKUP(C33,Segédlet!$C$5:$E$37,2,0)+(G33-14)*K33*VLOOKUP(C33,Segédlet!$C$5:$E$37,3,0)),"")</f>
        <v/>
      </c>
      <c r="Q33" s="29" t="str">
        <f t="shared" si="14"/>
        <v/>
      </c>
      <c r="R33" s="29" t="str">
        <f t="shared" si="15"/>
        <v/>
      </c>
      <c r="S33" s="23" t="str">
        <f>IF(B33&lt;&gt;"",IF(OR(B33=Segédlet!$J$6,B33=Segédlet!$J$7),0,IF(AND(B33=Segédlet!$J$5,E33&lt;10),IF(E33&lt;10,E33*70*K33,"700"),IF(B33 &lt;&gt; Segédlet!$J$5,0,700*K33))),"")</f>
        <v/>
      </c>
      <c r="T33" s="43" t="str">
        <f t="shared" si="16"/>
        <v/>
      </c>
    </row>
    <row r="34" spans="1:20" s="24" customFormat="1" x14ac:dyDescent="0.2">
      <c r="A34" s="26" t="str">
        <f t="shared" si="8"/>
        <v xml:space="preserve"> </v>
      </c>
      <c r="B34" s="27"/>
      <c r="C34" s="35"/>
      <c r="D34" s="42" t="str">
        <f>IF(C34&lt;&gt;"",INDEX(Segédlet!$B$5:$B$37,MATCH(C34,Segédlet!$C$5:$C$37,0)),"")</f>
        <v/>
      </c>
      <c r="E34" s="36"/>
      <c r="F34" s="25"/>
      <c r="G34" s="22" t="str">
        <f t="shared" si="9"/>
        <v/>
      </c>
      <c r="H34" s="25" t="str">
        <f t="shared" si="10"/>
        <v/>
      </c>
      <c r="I34" s="25" t="str">
        <f t="shared" si="11"/>
        <v/>
      </c>
      <c r="J34" s="25" t="str">
        <f t="shared" si="12"/>
        <v/>
      </c>
      <c r="K34" s="28"/>
      <c r="L34" s="28" t="str">
        <f t="shared" si="13"/>
        <v/>
      </c>
      <c r="M34" s="37"/>
      <c r="N34" s="23" t="str">
        <f>IF(B34&lt;&gt;"",IF(AND(I34&gt;0,R34&gt;0),(K34+J34-I34)*VLOOKUP(M34,Segédlet!$G$5:$H$12,2,0),(K34+J34)*VLOOKUP(M34,Segédlet!$G$5:$H$12,2,0)),"")</f>
        <v/>
      </c>
      <c r="O34" s="23" t="str">
        <f>IF(B34&lt;&gt;"",IF(G34&lt;=14,G34*J34*VLOOKUP(C34,Segédlet!$C$5:$E$37,2,0),J34*14*VLOOKUP(C34,Segédlet!$C$5:$E$37,2,0)+(G34-14)*J34*VLOOKUP(C34,Segédlet!$C$5:$E$37,3,0)),"")</f>
        <v/>
      </c>
      <c r="P34" s="23" t="str">
        <f>IF(B34&lt;&gt;"",IF(G34&lt;=14,G34*K34*VLOOKUP(C34,Segédlet!$C$5:$E$37,2,0),K34*14*VLOOKUP(C34,Segédlet!$C$5:$E$37,2,0)+(G34-14)*K34*VLOOKUP(C34,Segédlet!$C$5:$E$37,3,0)),"")</f>
        <v/>
      </c>
      <c r="Q34" s="29" t="str">
        <f t="shared" si="14"/>
        <v/>
      </c>
      <c r="R34" s="29" t="str">
        <f t="shared" si="15"/>
        <v/>
      </c>
      <c r="S34" s="23" t="str">
        <f>IF(B34&lt;&gt;"",IF(OR(B34=Segédlet!$J$6,B34=Segédlet!$J$7),0,IF(AND(B34=Segédlet!$J$5,E34&lt;10),IF(E34&lt;10,E34*70*K34,"700"),IF(B34 &lt;&gt; Segédlet!$J$5,0,700*K34))),"")</f>
        <v/>
      </c>
      <c r="T34" s="43" t="str">
        <f t="shared" si="16"/>
        <v/>
      </c>
    </row>
    <row r="35" spans="1:20" s="24" customFormat="1" x14ac:dyDescent="0.2">
      <c r="A35" s="26" t="str">
        <f t="shared" si="8"/>
        <v xml:space="preserve"> </v>
      </c>
      <c r="B35" s="27"/>
      <c r="C35" s="35"/>
      <c r="D35" s="42" t="str">
        <f>IF(C35&lt;&gt;"",INDEX(Segédlet!$B$5:$B$37,MATCH(C35,Segédlet!$C$5:$C$37,0)),"")</f>
        <v/>
      </c>
      <c r="E35" s="36"/>
      <c r="F35" s="25"/>
      <c r="G35" s="22" t="str">
        <f t="shared" si="9"/>
        <v/>
      </c>
      <c r="H35" s="25" t="str">
        <f t="shared" si="10"/>
        <v/>
      </c>
      <c r="I35" s="25" t="str">
        <f t="shared" si="11"/>
        <v/>
      </c>
      <c r="J35" s="25" t="str">
        <f t="shared" si="12"/>
        <v/>
      </c>
      <c r="K35" s="28"/>
      <c r="L35" s="28" t="str">
        <f t="shared" si="13"/>
        <v/>
      </c>
      <c r="M35" s="37"/>
      <c r="N35" s="23" t="str">
        <f>IF(B35&lt;&gt;"",IF(AND(I35&gt;0,R35&gt;0),(K35+J35-I35)*VLOOKUP(M35,Segédlet!$G$5:$H$12,2,0),(K35+J35)*VLOOKUP(M35,Segédlet!$G$5:$H$12,2,0)),"")</f>
        <v/>
      </c>
      <c r="O35" s="23" t="str">
        <f>IF(B35&lt;&gt;"",IF(G35&lt;=14,G35*J35*VLOOKUP(C35,Segédlet!$C$5:$E$37,2,0),J35*14*VLOOKUP(C35,Segédlet!$C$5:$E$37,2,0)+(G35-14)*J35*VLOOKUP(C35,Segédlet!$C$5:$E$37,3,0)),"")</f>
        <v/>
      </c>
      <c r="P35" s="23" t="str">
        <f>IF(B35&lt;&gt;"",IF(G35&lt;=14,G35*K35*VLOOKUP(C35,Segédlet!$C$5:$E$37,2,0),K35*14*VLOOKUP(C35,Segédlet!$C$5:$E$37,2,0)+(G35-14)*K35*VLOOKUP(C35,Segédlet!$C$5:$E$37,3,0)),"")</f>
        <v/>
      </c>
      <c r="Q35" s="29" t="str">
        <f t="shared" si="14"/>
        <v/>
      </c>
      <c r="R35" s="29" t="str">
        <f t="shared" si="15"/>
        <v/>
      </c>
      <c r="S35" s="23" t="str">
        <f>IF(B35&lt;&gt;"",IF(OR(B35=Segédlet!$J$6,B35=Segédlet!$J$7),0,IF(AND(B35=Segédlet!$J$5,E35&lt;10),IF(E35&lt;10,E35*70*K35,"700"),IF(B35 &lt;&gt; Segédlet!$J$5,0,700*K35))),"")</f>
        <v/>
      </c>
      <c r="T35" s="43" t="str">
        <f t="shared" si="16"/>
        <v/>
      </c>
    </row>
    <row r="36" spans="1:20" s="24" customFormat="1" x14ac:dyDescent="0.2">
      <c r="A36" s="26" t="str">
        <f t="shared" si="8"/>
        <v xml:space="preserve"> </v>
      </c>
      <c r="B36" s="27"/>
      <c r="C36" s="35"/>
      <c r="D36" s="42" t="str">
        <f>IF(C36&lt;&gt;"",INDEX(Segédlet!$B$5:$B$37,MATCH(C36,Segédlet!$C$5:$C$37,0)),"")</f>
        <v/>
      </c>
      <c r="E36" s="36"/>
      <c r="F36" s="25"/>
      <c r="G36" s="22" t="str">
        <f t="shared" si="9"/>
        <v/>
      </c>
      <c r="H36" s="25" t="str">
        <f t="shared" si="10"/>
        <v/>
      </c>
      <c r="I36" s="25" t="str">
        <f t="shared" si="11"/>
        <v/>
      </c>
      <c r="J36" s="25" t="str">
        <f t="shared" si="12"/>
        <v/>
      </c>
      <c r="K36" s="28"/>
      <c r="L36" s="28" t="str">
        <f t="shared" si="13"/>
        <v/>
      </c>
      <c r="M36" s="37"/>
      <c r="N36" s="23" t="str">
        <f>IF(B36&lt;&gt;"",IF(AND(I36&gt;0,R36&gt;0),(K36+J36-I36)*VLOOKUP(M36,Segédlet!$G$5:$H$12,2,0),(K36+J36)*VLOOKUP(M36,Segédlet!$G$5:$H$12,2,0)),"")</f>
        <v/>
      </c>
      <c r="O36" s="23" t="str">
        <f>IF(B36&lt;&gt;"",IF(G36&lt;=14,G36*J36*VLOOKUP(C36,Segédlet!$C$5:$E$37,2,0),J36*14*VLOOKUP(C36,Segédlet!$C$5:$E$37,2,0)+(G36-14)*J36*VLOOKUP(C36,Segédlet!$C$5:$E$37,3,0)),"")</f>
        <v/>
      </c>
      <c r="P36" s="23" t="str">
        <f>IF(B36&lt;&gt;"",IF(G36&lt;=14,G36*K36*VLOOKUP(C36,Segédlet!$C$5:$E$37,2,0),K36*14*VLOOKUP(C36,Segédlet!$C$5:$E$37,2,0)+(G36-14)*K36*VLOOKUP(C36,Segédlet!$C$5:$E$37,3,0)),"")</f>
        <v/>
      </c>
      <c r="Q36" s="29" t="str">
        <f t="shared" si="14"/>
        <v/>
      </c>
      <c r="R36" s="29" t="str">
        <f t="shared" si="15"/>
        <v/>
      </c>
      <c r="S36" s="23" t="str">
        <f>IF(B36&lt;&gt;"",IF(OR(B36=Segédlet!$J$6,B36=Segédlet!$J$7),0,IF(AND(B36=Segédlet!$J$5,E36&lt;10),IF(E36&lt;10,E36*70*K36,"700"),IF(B36 &lt;&gt; Segédlet!$J$5,0,700*K36))),"")</f>
        <v/>
      </c>
      <c r="T36" s="43" t="str">
        <f t="shared" si="16"/>
        <v/>
      </c>
    </row>
    <row r="37" spans="1:20" s="24" customFormat="1" x14ac:dyDescent="0.2">
      <c r="A37" s="26" t="str">
        <f t="shared" si="8"/>
        <v xml:space="preserve"> </v>
      </c>
      <c r="B37" s="27"/>
      <c r="C37" s="35"/>
      <c r="D37" s="42" t="str">
        <f>IF(C37&lt;&gt;"",INDEX(Segédlet!$B$5:$B$37,MATCH(C37,Segédlet!$C$5:$C$37,0)),"")</f>
        <v/>
      </c>
      <c r="E37" s="36"/>
      <c r="F37" s="25"/>
      <c r="G37" s="22" t="str">
        <f t="shared" si="9"/>
        <v/>
      </c>
      <c r="H37" s="25" t="str">
        <f t="shared" si="10"/>
        <v/>
      </c>
      <c r="I37" s="25" t="str">
        <f t="shared" si="11"/>
        <v/>
      </c>
      <c r="J37" s="25" t="str">
        <f t="shared" si="12"/>
        <v/>
      </c>
      <c r="K37" s="28"/>
      <c r="L37" s="28" t="str">
        <f t="shared" si="13"/>
        <v/>
      </c>
      <c r="M37" s="37"/>
      <c r="N37" s="23" t="str">
        <f>IF(B37&lt;&gt;"",IF(AND(I37&gt;0,R37&gt;0),(K37+J37-I37)*VLOOKUP(M37,Segédlet!$G$5:$H$12,2,0),(K37+J37)*VLOOKUP(M37,Segédlet!$G$5:$H$12,2,0)),"")</f>
        <v/>
      </c>
      <c r="O37" s="23" t="str">
        <f>IF(B37&lt;&gt;"",IF(G37&lt;=14,G37*J37*VLOOKUP(C37,Segédlet!$C$5:$E$37,2,0),J37*14*VLOOKUP(C37,Segédlet!$C$5:$E$37,2,0)+(G37-14)*J37*VLOOKUP(C37,Segédlet!$C$5:$E$37,3,0)),"")</f>
        <v/>
      </c>
      <c r="P37" s="23" t="str">
        <f>IF(B37&lt;&gt;"",IF(G37&lt;=14,G37*K37*VLOOKUP(C37,Segédlet!$C$5:$E$37,2,0),K37*14*VLOOKUP(C37,Segédlet!$C$5:$E$37,2,0)+(G37-14)*K37*VLOOKUP(C37,Segédlet!$C$5:$E$37,3,0)),"")</f>
        <v/>
      </c>
      <c r="Q37" s="29" t="str">
        <f t="shared" si="14"/>
        <v/>
      </c>
      <c r="R37" s="29" t="str">
        <f t="shared" si="15"/>
        <v/>
      </c>
      <c r="S37" s="23" t="str">
        <f>IF(B37&lt;&gt;"",IF(OR(B37=Segédlet!$J$6,B37=Segédlet!$J$7),0,IF(AND(B37=Segédlet!$J$5,E37&lt;10),IF(E37&lt;10,E37*70*K37,"700"),IF(B37 &lt;&gt; Segédlet!$J$5,0,700*K37))),"")</f>
        <v/>
      </c>
      <c r="T37" s="43" t="str">
        <f t="shared" si="16"/>
        <v/>
      </c>
    </row>
    <row r="38" spans="1:20" s="24" customFormat="1" x14ac:dyDescent="0.2">
      <c r="A38" s="26" t="str">
        <f t="shared" si="8"/>
        <v xml:space="preserve"> </v>
      </c>
      <c r="B38" s="27"/>
      <c r="C38" s="35"/>
      <c r="D38" s="42" t="str">
        <f>IF(C38&lt;&gt;"",INDEX(Segédlet!$B$5:$B$37,MATCH(C38,Segédlet!$C$5:$C$37,0)),"")</f>
        <v/>
      </c>
      <c r="E38" s="36"/>
      <c r="F38" s="25"/>
      <c r="G38" s="22" t="str">
        <f t="shared" si="9"/>
        <v/>
      </c>
      <c r="H38" s="25" t="str">
        <f t="shared" si="10"/>
        <v/>
      </c>
      <c r="I38" s="25" t="str">
        <f t="shared" si="11"/>
        <v/>
      </c>
      <c r="J38" s="25" t="str">
        <f t="shared" si="12"/>
        <v/>
      </c>
      <c r="K38" s="28"/>
      <c r="L38" s="28" t="str">
        <f t="shared" si="13"/>
        <v/>
      </c>
      <c r="M38" s="37"/>
      <c r="N38" s="23" t="str">
        <f>IF(B38&lt;&gt;"",IF(AND(I38&gt;0,R38&gt;0),(K38+J38-I38)*VLOOKUP(M38,Segédlet!$G$5:$H$12,2,0),(K38+J38)*VLOOKUP(M38,Segédlet!$G$5:$H$12,2,0)),"")</f>
        <v/>
      </c>
      <c r="O38" s="23" t="str">
        <f>IF(B38&lt;&gt;"",IF(G38&lt;=14,G38*J38*VLOOKUP(C38,Segédlet!$C$5:$E$37,2,0),J38*14*VLOOKUP(C38,Segédlet!$C$5:$E$37,2,0)+(G38-14)*J38*VLOOKUP(C38,Segédlet!$C$5:$E$37,3,0)),"")</f>
        <v/>
      </c>
      <c r="P38" s="23" t="str">
        <f>IF(B38&lt;&gt;"",IF(G38&lt;=14,G38*K38*VLOOKUP(C38,Segédlet!$C$5:$E$37,2,0),K38*14*VLOOKUP(C38,Segédlet!$C$5:$E$37,2,0)+(G38-14)*K38*VLOOKUP(C38,Segédlet!$C$5:$E$37,3,0)),"")</f>
        <v/>
      </c>
      <c r="Q38" s="29" t="str">
        <f t="shared" si="14"/>
        <v/>
      </c>
      <c r="R38" s="29" t="str">
        <f t="shared" si="15"/>
        <v/>
      </c>
      <c r="S38" s="23" t="str">
        <f>IF(B38&lt;&gt;"",IF(OR(B38=Segédlet!$J$6,B38=Segédlet!$J$7),0,IF(AND(B38=Segédlet!$J$5,E38&lt;10),IF(E38&lt;10,E38*70*K38,"700"),IF(B38 &lt;&gt; Segédlet!$J$5,0,700*K38))),"")</f>
        <v/>
      </c>
      <c r="T38" s="43" t="str">
        <f t="shared" si="16"/>
        <v/>
      </c>
    </row>
    <row r="39" spans="1:20" s="24" customFormat="1" x14ac:dyDescent="0.2">
      <c r="A39" s="26" t="str">
        <f t="shared" si="8"/>
        <v xml:space="preserve"> </v>
      </c>
      <c r="B39" s="27"/>
      <c r="C39" s="35"/>
      <c r="D39" s="42" t="str">
        <f>IF(C39&lt;&gt;"",INDEX(Segédlet!$B$5:$B$37,MATCH(C39,Segédlet!$C$5:$C$37,0)),"")</f>
        <v/>
      </c>
      <c r="E39" s="36"/>
      <c r="F39" s="25"/>
      <c r="G39" s="22" t="str">
        <f t="shared" si="9"/>
        <v/>
      </c>
      <c r="H39" s="25" t="str">
        <f t="shared" si="10"/>
        <v/>
      </c>
      <c r="I39" s="25" t="str">
        <f t="shared" si="11"/>
        <v/>
      </c>
      <c r="J39" s="25" t="str">
        <f t="shared" si="12"/>
        <v/>
      </c>
      <c r="K39" s="28"/>
      <c r="L39" s="28" t="str">
        <f t="shared" si="13"/>
        <v/>
      </c>
      <c r="M39" s="37"/>
      <c r="N39" s="23" t="str">
        <f>IF(B39&lt;&gt;"",IF(AND(I39&gt;0,R39&gt;0),(K39+J39-I39)*VLOOKUP(M39,Segédlet!$G$5:$H$12,2,0),(K39+J39)*VLOOKUP(M39,Segédlet!$G$5:$H$12,2,0)),"")</f>
        <v/>
      </c>
      <c r="O39" s="23" t="str">
        <f>IF(B39&lt;&gt;"",IF(G39&lt;=14,G39*J39*VLOOKUP(C39,Segédlet!$C$5:$E$37,2,0),J39*14*VLOOKUP(C39,Segédlet!$C$5:$E$37,2,0)+(G39-14)*J39*VLOOKUP(C39,Segédlet!$C$5:$E$37,3,0)),"")</f>
        <v/>
      </c>
      <c r="P39" s="23" t="str">
        <f>IF(B39&lt;&gt;"",IF(G39&lt;=14,G39*K39*VLOOKUP(C39,Segédlet!$C$5:$E$37,2,0),K39*14*VLOOKUP(C39,Segédlet!$C$5:$E$37,2,0)+(G39-14)*K39*VLOOKUP(C39,Segédlet!$C$5:$E$37,3,0)),"")</f>
        <v/>
      </c>
      <c r="Q39" s="29" t="str">
        <f t="shared" si="14"/>
        <v/>
      </c>
      <c r="R39" s="29" t="str">
        <f t="shared" si="15"/>
        <v/>
      </c>
      <c r="S39" s="23" t="str">
        <f>IF(B39&lt;&gt;"",IF(OR(B39=Segédlet!$J$6,B39=Segédlet!$J$7),0,IF(AND(B39=Segédlet!$J$5,E39&lt;10),IF(E39&lt;10,E39*70*K39,"700"),IF(B39 &lt;&gt; Segédlet!$J$5,0,700*K39))),"")</f>
        <v/>
      </c>
      <c r="T39" s="43" t="str">
        <f t="shared" si="16"/>
        <v/>
      </c>
    </row>
    <row r="40" spans="1:20" s="24" customFormat="1" x14ac:dyDescent="0.2">
      <c r="A40" s="26" t="str">
        <f t="shared" si="8"/>
        <v xml:space="preserve"> </v>
      </c>
      <c r="B40" s="27"/>
      <c r="C40" s="35"/>
      <c r="D40" s="42" t="str">
        <f>IF(C40&lt;&gt;"",INDEX(Segédlet!$B$5:$B$37,MATCH(C40,Segédlet!$C$5:$C$37,0)),"")</f>
        <v/>
      </c>
      <c r="E40" s="36"/>
      <c r="F40" s="25"/>
      <c r="G40" s="22" t="str">
        <f t="shared" si="9"/>
        <v/>
      </c>
      <c r="H40" s="25" t="str">
        <f t="shared" si="10"/>
        <v/>
      </c>
      <c r="I40" s="25" t="str">
        <f t="shared" si="11"/>
        <v/>
      </c>
      <c r="J40" s="25" t="str">
        <f t="shared" si="12"/>
        <v/>
      </c>
      <c r="K40" s="28"/>
      <c r="L40" s="28" t="str">
        <f t="shared" si="13"/>
        <v/>
      </c>
      <c r="M40" s="37"/>
      <c r="N40" s="23" t="str">
        <f>IF(B40&lt;&gt;"",IF(AND(I40&gt;0,R40&gt;0),(K40+J40-I40)*VLOOKUP(M40,Segédlet!$G$5:$H$12,2,0),(K40+J40)*VLOOKUP(M40,Segédlet!$G$5:$H$12,2,0)),"")</f>
        <v/>
      </c>
      <c r="O40" s="23" t="str">
        <f>IF(B40&lt;&gt;"",IF(G40&lt;=14,G40*J40*VLOOKUP(C40,Segédlet!$C$5:$E$37,2,0),J40*14*VLOOKUP(C40,Segédlet!$C$5:$E$37,2,0)+(G40-14)*J40*VLOOKUP(C40,Segédlet!$C$5:$E$37,3,0)),"")</f>
        <v/>
      </c>
      <c r="P40" s="23" t="str">
        <f>IF(B40&lt;&gt;"",IF(G40&lt;=14,G40*K40*VLOOKUP(C40,Segédlet!$C$5:$E$37,2,0),K40*14*VLOOKUP(C40,Segédlet!$C$5:$E$37,2,0)+(G40-14)*K40*VLOOKUP(C40,Segédlet!$C$5:$E$37,3,0)),"")</f>
        <v/>
      </c>
      <c r="Q40" s="29" t="str">
        <f t="shared" si="14"/>
        <v/>
      </c>
      <c r="R40" s="29" t="str">
        <f t="shared" si="15"/>
        <v/>
      </c>
      <c r="S40" s="23" t="str">
        <f>IF(B40&lt;&gt;"",IF(OR(B40=Segédlet!$J$6,B40=Segédlet!$J$7),0,IF(AND(B40=Segédlet!$J$5,E40&lt;10),IF(E40&lt;10,E40*70*K40,"700"),IF(B40 &lt;&gt; Segédlet!$J$5,0,700*K40))),"")</f>
        <v/>
      </c>
      <c r="T40" s="43" t="str">
        <f t="shared" si="16"/>
        <v/>
      </c>
    </row>
    <row r="41" spans="1:20" s="24" customFormat="1" x14ac:dyDescent="0.2">
      <c r="A41" s="26" t="str">
        <f t="shared" si="8"/>
        <v xml:space="preserve"> </v>
      </c>
      <c r="B41" s="27"/>
      <c r="C41" s="35"/>
      <c r="D41" s="42" t="str">
        <f>IF(C41&lt;&gt;"",INDEX(Segédlet!$B$5:$B$37,MATCH(C41,Segédlet!$C$5:$C$37,0)),"")</f>
        <v/>
      </c>
      <c r="E41" s="36"/>
      <c r="F41" s="25"/>
      <c r="G41" s="22" t="str">
        <f t="shared" si="9"/>
        <v/>
      </c>
      <c r="H41" s="25" t="str">
        <f t="shared" si="10"/>
        <v/>
      </c>
      <c r="I41" s="25" t="str">
        <f t="shared" si="11"/>
        <v/>
      </c>
      <c r="J41" s="25" t="str">
        <f t="shared" si="12"/>
        <v/>
      </c>
      <c r="K41" s="28"/>
      <c r="L41" s="28" t="str">
        <f t="shared" si="13"/>
        <v/>
      </c>
      <c r="M41" s="37"/>
      <c r="N41" s="23" t="str">
        <f>IF(B41&lt;&gt;"",IF(AND(I41&gt;0,R41&gt;0),(K41+J41-I41)*VLOOKUP(M41,Segédlet!$G$5:$H$12,2,0),(K41+J41)*VLOOKUP(M41,Segédlet!$G$5:$H$12,2,0)),"")</f>
        <v/>
      </c>
      <c r="O41" s="23" t="str">
        <f>IF(B41&lt;&gt;"",IF(G41&lt;=14,G41*J41*VLOOKUP(C41,Segédlet!$C$5:$E$37,2,0),J41*14*VLOOKUP(C41,Segédlet!$C$5:$E$37,2,0)+(G41-14)*J41*VLOOKUP(C41,Segédlet!$C$5:$E$37,3,0)),"")</f>
        <v/>
      </c>
      <c r="P41" s="23" t="str">
        <f>IF(B41&lt;&gt;"",IF(G41&lt;=14,G41*K41*VLOOKUP(C41,Segédlet!$C$5:$E$37,2,0),K41*14*VLOOKUP(C41,Segédlet!$C$5:$E$37,2,0)+(G41-14)*K41*VLOOKUP(C41,Segédlet!$C$5:$E$37,3,0)),"")</f>
        <v/>
      </c>
      <c r="Q41" s="29" t="str">
        <f t="shared" si="14"/>
        <v/>
      </c>
      <c r="R41" s="29" t="str">
        <f t="shared" si="15"/>
        <v/>
      </c>
      <c r="S41" s="23" t="str">
        <f>IF(B41&lt;&gt;"",IF(OR(B41=Segédlet!$J$6,B41=Segédlet!$J$7),0,IF(AND(B41=Segédlet!$J$5,E41&lt;10),IF(E41&lt;10,E41*70*K41,"700"),IF(B41 &lt;&gt; Segédlet!$J$5,0,700*K41))),"")</f>
        <v/>
      </c>
      <c r="T41" s="43" t="str">
        <f t="shared" si="16"/>
        <v/>
      </c>
    </row>
    <row r="42" spans="1:20" s="24" customFormat="1" x14ac:dyDescent="0.2">
      <c r="A42" s="26" t="str">
        <f t="shared" si="8"/>
        <v xml:space="preserve"> </v>
      </c>
      <c r="B42" s="27"/>
      <c r="C42" s="35"/>
      <c r="D42" s="42" t="str">
        <f>IF(C42&lt;&gt;"",INDEX(Segédlet!$B$5:$B$37,MATCH(C42,Segédlet!$C$5:$C$37,0)),"")</f>
        <v/>
      </c>
      <c r="E42" s="36"/>
      <c r="F42" s="25"/>
      <c r="G42" s="22" t="str">
        <f t="shared" si="9"/>
        <v/>
      </c>
      <c r="H42" s="25" t="str">
        <f t="shared" si="10"/>
        <v/>
      </c>
      <c r="I42" s="25" t="str">
        <f t="shared" si="11"/>
        <v/>
      </c>
      <c r="J42" s="25" t="str">
        <f t="shared" si="12"/>
        <v/>
      </c>
      <c r="K42" s="28"/>
      <c r="L42" s="28" t="str">
        <f t="shared" si="13"/>
        <v/>
      </c>
      <c r="M42" s="37"/>
      <c r="N42" s="23" t="str">
        <f>IF(B42&lt;&gt;"",IF(AND(I42&gt;0,R42&gt;0),(K42+J42-I42)*VLOOKUP(M42,Segédlet!$G$5:$H$12,2,0),(K42+J42)*VLOOKUP(M42,Segédlet!$G$5:$H$12,2,0)),"")</f>
        <v/>
      </c>
      <c r="O42" s="23" t="str">
        <f>IF(B42&lt;&gt;"",IF(G42&lt;=14,G42*J42*VLOOKUP(C42,Segédlet!$C$5:$E$37,2,0),J42*14*VLOOKUP(C42,Segédlet!$C$5:$E$37,2,0)+(G42-14)*J42*VLOOKUP(C42,Segédlet!$C$5:$E$37,3,0)),"")</f>
        <v/>
      </c>
      <c r="P42" s="23" t="str">
        <f>IF(B42&lt;&gt;"",IF(G42&lt;=14,G42*K42*VLOOKUP(C42,Segédlet!$C$5:$E$37,2,0),K42*14*VLOOKUP(C42,Segédlet!$C$5:$E$37,2,0)+(G42-14)*K42*VLOOKUP(C42,Segédlet!$C$5:$E$37,3,0)),"")</f>
        <v/>
      </c>
      <c r="Q42" s="29" t="str">
        <f t="shared" si="14"/>
        <v/>
      </c>
      <c r="R42" s="29" t="str">
        <f t="shared" si="15"/>
        <v/>
      </c>
      <c r="S42" s="23" t="str">
        <f>IF(B42&lt;&gt;"",IF(OR(B42=Segédlet!$J$6,B42=Segédlet!$J$7),0,IF(AND(B42=Segédlet!$J$5,E42&lt;10),IF(E42&lt;10,E42*70*K42,"700"),IF(B42 &lt;&gt; Segédlet!$J$5,0,700*K42))),"")</f>
        <v/>
      </c>
      <c r="T42" s="43" t="str">
        <f t="shared" si="16"/>
        <v/>
      </c>
    </row>
    <row r="43" spans="1:20" s="24" customFormat="1" x14ac:dyDescent="0.2">
      <c r="A43" s="26" t="str">
        <f t="shared" si="8"/>
        <v xml:space="preserve"> </v>
      </c>
      <c r="B43" s="27"/>
      <c r="C43" s="35"/>
      <c r="D43" s="42" t="str">
        <f>IF(C43&lt;&gt;"",INDEX(Segédlet!$B$5:$B$37,MATCH(C43,Segédlet!$C$5:$C$37,0)),"")</f>
        <v/>
      </c>
      <c r="E43" s="36"/>
      <c r="F43" s="25"/>
      <c r="G43" s="22" t="str">
        <f t="shared" si="9"/>
        <v/>
      </c>
      <c r="H43" s="25" t="str">
        <f t="shared" si="10"/>
        <v/>
      </c>
      <c r="I43" s="25" t="str">
        <f t="shared" si="11"/>
        <v/>
      </c>
      <c r="J43" s="25" t="str">
        <f t="shared" si="12"/>
        <v/>
      </c>
      <c r="K43" s="28"/>
      <c r="L43" s="28" t="str">
        <f t="shared" si="13"/>
        <v/>
      </c>
      <c r="M43" s="37"/>
      <c r="N43" s="23" t="str">
        <f>IF(B43&lt;&gt;"",IF(AND(I43&gt;0,R43&gt;0),(K43+J43-I43)*VLOOKUP(M43,Segédlet!$G$5:$H$12,2,0),(K43+J43)*VLOOKUP(M43,Segédlet!$G$5:$H$12,2,0)),"")</f>
        <v/>
      </c>
      <c r="O43" s="23" t="str">
        <f>IF(B43&lt;&gt;"",IF(G43&lt;=14,G43*J43*VLOOKUP(C43,Segédlet!$C$5:$E$37,2,0),J43*14*VLOOKUP(C43,Segédlet!$C$5:$E$37,2,0)+(G43-14)*J43*VLOOKUP(C43,Segédlet!$C$5:$E$37,3,0)),"")</f>
        <v/>
      </c>
      <c r="P43" s="23" t="str">
        <f>IF(B43&lt;&gt;"",IF(G43&lt;=14,G43*K43*VLOOKUP(C43,Segédlet!$C$5:$E$37,2,0),K43*14*VLOOKUP(C43,Segédlet!$C$5:$E$37,2,0)+(G43-14)*K43*VLOOKUP(C43,Segédlet!$C$5:$E$37,3,0)),"")</f>
        <v/>
      </c>
      <c r="Q43" s="29" t="str">
        <f t="shared" si="14"/>
        <v/>
      </c>
      <c r="R43" s="29" t="str">
        <f t="shared" si="15"/>
        <v/>
      </c>
      <c r="S43" s="23" t="str">
        <f>IF(B43&lt;&gt;"",IF(OR(B43=Segédlet!$J$6,B43=Segédlet!$J$7),0,IF(AND(B43=Segédlet!$J$5,E43&lt;10),IF(E43&lt;10,E43*70*K43,"700"),IF(B43 &lt;&gt; Segédlet!$J$5,0,700*K43))),"")</f>
        <v/>
      </c>
      <c r="T43" s="43" t="str">
        <f t="shared" si="16"/>
        <v/>
      </c>
    </row>
    <row r="44" spans="1:20" s="24" customFormat="1" x14ac:dyDescent="0.2">
      <c r="A44" s="26" t="str">
        <f t="shared" si="8"/>
        <v xml:space="preserve"> </v>
      </c>
      <c r="B44" s="27"/>
      <c r="C44" s="35"/>
      <c r="D44" s="42" t="str">
        <f>IF(C44&lt;&gt;"",INDEX(Segédlet!$B$5:$B$37,MATCH(C44,Segédlet!$C$5:$C$37,0)),"")</f>
        <v/>
      </c>
      <c r="E44" s="36"/>
      <c r="F44" s="25"/>
      <c r="G44" s="22" t="str">
        <f t="shared" si="9"/>
        <v/>
      </c>
      <c r="H44" s="25" t="str">
        <f t="shared" si="10"/>
        <v/>
      </c>
      <c r="I44" s="25" t="str">
        <f t="shared" si="11"/>
        <v/>
      </c>
      <c r="J44" s="25" t="str">
        <f t="shared" si="12"/>
        <v/>
      </c>
      <c r="K44" s="28"/>
      <c r="L44" s="28" t="str">
        <f t="shared" si="13"/>
        <v/>
      </c>
      <c r="M44" s="37"/>
      <c r="N44" s="23" t="str">
        <f>IF(B44&lt;&gt;"",IF(AND(I44&gt;0,R44&gt;0),(K44+J44-I44)*VLOOKUP(M44,Segédlet!$G$5:$H$12,2,0),(K44+J44)*VLOOKUP(M44,Segédlet!$G$5:$H$12,2,0)),"")</f>
        <v/>
      </c>
      <c r="O44" s="23" t="str">
        <f>IF(B44&lt;&gt;"",IF(G44&lt;=14,G44*J44*VLOOKUP(C44,Segédlet!$C$5:$E$37,2,0),J44*14*VLOOKUP(C44,Segédlet!$C$5:$E$37,2,0)+(G44-14)*J44*VLOOKUP(C44,Segédlet!$C$5:$E$37,3,0)),"")</f>
        <v/>
      </c>
      <c r="P44" s="23" t="str">
        <f>IF(B44&lt;&gt;"",IF(G44&lt;=14,G44*K44*VLOOKUP(C44,Segédlet!$C$5:$E$37,2,0),K44*14*VLOOKUP(C44,Segédlet!$C$5:$E$37,2,0)+(G44-14)*K44*VLOOKUP(C44,Segédlet!$C$5:$E$37,3,0)),"")</f>
        <v/>
      </c>
      <c r="Q44" s="29" t="str">
        <f t="shared" si="14"/>
        <v/>
      </c>
      <c r="R44" s="29" t="str">
        <f t="shared" si="15"/>
        <v/>
      </c>
      <c r="S44" s="23" t="str">
        <f>IF(B44&lt;&gt;"",IF(OR(B44=Segédlet!$J$6,B44=Segédlet!$J$7),0,IF(AND(B44=Segédlet!$J$5,E44&lt;10),IF(E44&lt;10,E44*70*K44,"700"),IF(B44 &lt;&gt; Segédlet!$J$5,0,700*K44))),"")</f>
        <v/>
      </c>
      <c r="T44" s="43" t="str">
        <f t="shared" si="16"/>
        <v/>
      </c>
    </row>
    <row r="45" spans="1:20" s="24" customFormat="1" x14ac:dyDescent="0.2">
      <c r="A45" s="26" t="str">
        <f t="shared" si="8"/>
        <v xml:space="preserve"> </v>
      </c>
      <c r="B45" s="27"/>
      <c r="C45" s="35"/>
      <c r="D45" s="42" t="str">
        <f>IF(C45&lt;&gt;"",INDEX(Segédlet!$B$5:$B$37,MATCH(C45,Segédlet!$C$5:$C$37,0)),"")</f>
        <v/>
      </c>
      <c r="E45" s="36"/>
      <c r="F45" s="25"/>
      <c r="G45" s="22" t="str">
        <f t="shared" si="9"/>
        <v/>
      </c>
      <c r="H45" s="25" t="str">
        <f t="shared" si="10"/>
        <v/>
      </c>
      <c r="I45" s="25" t="str">
        <f t="shared" si="11"/>
        <v/>
      </c>
      <c r="J45" s="25" t="str">
        <f t="shared" si="12"/>
        <v/>
      </c>
      <c r="K45" s="28"/>
      <c r="L45" s="28" t="str">
        <f t="shared" si="13"/>
        <v/>
      </c>
      <c r="M45" s="37"/>
      <c r="N45" s="23" t="str">
        <f>IF(B45&lt;&gt;"",IF(AND(I45&gt;0,R45&gt;0),(K45+J45-I45)*VLOOKUP(M45,Segédlet!$G$5:$H$12,2,0),(K45+J45)*VLOOKUP(M45,Segédlet!$G$5:$H$12,2,0)),"")</f>
        <v/>
      </c>
      <c r="O45" s="23" t="str">
        <f>IF(B45&lt;&gt;"",IF(G45&lt;=14,G45*J45*VLOOKUP(C45,Segédlet!$C$5:$E$37,2,0),J45*14*VLOOKUP(C45,Segédlet!$C$5:$E$37,2,0)+(G45-14)*J45*VLOOKUP(C45,Segédlet!$C$5:$E$37,3,0)),"")</f>
        <v/>
      </c>
      <c r="P45" s="23" t="str">
        <f>IF(B45&lt;&gt;"",IF(G45&lt;=14,G45*K45*VLOOKUP(C45,Segédlet!$C$5:$E$37,2,0),K45*14*VLOOKUP(C45,Segédlet!$C$5:$E$37,2,0)+(G45-14)*K45*VLOOKUP(C45,Segédlet!$C$5:$E$37,3,0)),"")</f>
        <v/>
      </c>
      <c r="Q45" s="29" t="str">
        <f t="shared" si="14"/>
        <v/>
      </c>
      <c r="R45" s="29" t="str">
        <f t="shared" si="15"/>
        <v/>
      </c>
      <c r="S45" s="23" t="str">
        <f>IF(B45&lt;&gt;"",IF(OR(B45=Segédlet!$J$6,B45=Segédlet!$J$7),0,IF(AND(B45=Segédlet!$J$5,E45&lt;10),IF(E45&lt;10,E45*70*K45,"700"),IF(B45 &lt;&gt; Segédlet!$J$5,0,700*K45))),"")</f>
        <v/>
      </c>
      <c r="T45" s="43" t="str">
        <f t="shared" si="16"/>
        <v/>
      </c>
    </row>
    <row r="46" spans="1:20" s="24" customFormat="1" x14ac:dyDescent="0.2">
      <c r="A46" s="26" t="str">
        <f t="shared" si="8"/>
        <v xml:space="preserve"> </v>
      </c>
      <c r="B46" s="27"/>
      <c r="C46" s="35"/>
      <c r="D46" s="42" t="str">
        <f>IF(C46&lt;&gt;"",INDEX(Segédlet!$B$5:$B$37,MATCH(C46,Segédlet!$C$5:$C$37,0)),"")</f>
        <v/>
      </c>
      <c r="E46" s="36"/>
      <c r="F46" s="25"/>
      <c r="G46" s="22" t="str">
        <f t="shared" si="9"/>
        <v/>
      </c>
      <c r="H46" s="25" t="str">
        <f t="shared" si="10"/>
        <v/>
      </c>
      <c r="I46" s="25" t="str">
        <f t="shared" si="11"/>
        <v/>
      </c>
      <c r="J46" s="25" t="str">
        <f t="shared" si="12"/>
        <v/>
      </c>
      <c r="K46" s="28"/>
      <c r="L46" s="28" t="str">
        <f t="shared" si="13"/>
        <v/>
      </c>
      <c r="M46" s="37"/>
      <c r="N46" s="23" t="str">
        <f>IF(B46&lt;&gt;"",IF(AND(I46&gt;0,R46&gt;0),(K46+J46-I46)*VLOOKUP(M46,Segédlet!$G$5:$H$12,2,0),(K46+J46)*VLOOKUP(M46,Segédlet!$G$5:$H$12,2,0)),"")</f>
        <v/>
      </c>
      <c r="O46" s="23" t="str">
        <f>IF(B46&lt;&gt;"",IF(G46&lt;=14,G46*J46*VLOOKUP(C46,Segédlet!$C$5:$E$37,2,0),J46*14*VLOOKUP(C46,Segédlet!$C$5:$E$37,2,0)+(G46-14)*J46*VLOOKUP(C46,Segédlet!$C$5:$E$37,3,0)),"")</f>
        <v/>
      </c>
      <c r="P46" s="23" t="str">
        <f>IF(B46&lt;&gt;"",IF(G46&lt;=14,G46*K46*VLOOKUP(C46,Segédlet!$C$5:$E$37,2,0),K46*14*VLOOKUP(C46,Segédlet!$C$5:$E$37,2,0)+(G46-14)*K46*VLOOKUP(C46,Segédlet!$C$5:$E$37,3,0)),"")</f>
        <v/>
      </c>
      <c r="Q46" s="29" t="str">
        <f t="shared" si="14"/>
        <v/>
      </c>
      <c r="R46" s="29" t="str">
        <f t="shared" si="15"/>
        <v/>
      </c>
      <c r="S46" s="23" t="str">
        <f>IF(B46&lt;&gt;"",IF(OR(B46=Segédlet!$J$6,B46=Segédlet!$J$7),0,IF(AND(B46=Segédlet!$J$5,E46&lt;10),IF(E46&lt;10,E46*70*K46,"700"),IF(B46 &lt;&gt; Segédlet!$J$5,0,700*K46))),"")</f>
        <v/>
      </c>
      <c r="T46" s="43" t="str">
        <f t="shared" si="16"/>
        <v/>
      </c>
    </row>
    <row r="47" spans="1:20" s="24" customFormat="1" x14ac:dyDescent="0.2">
      <c r="A47" s="26" t="str">
        <f t="shared" si="8"/>
        <v xml:space="preserve"> </v>
      </c>
      <c r="B47" s="27"/>
      <c r="C47" s="35"/>
      <c r="D47" s="42" t="str">
        <f>IF(C47&lt;&gt;"",INDEX(Segédlet!$B$5:$B$37,MATCH(C47,Segédlet!$C$5:$C$37,0)),"")</f>
        <v/>
      </c>
      <c r="E47" s="36"/>
      <c r="F47" s="25"/>
      <c r="G47" s="22" t="str">
        <f t="shared" si="9"/>
        <v/>
      </c>
      <c r="H47" s="25" t="str">
        <f t="shared" si="10"/>
        <v/>
      </c>
      <c r="I47" s="25" t="str">
        <f t="shared" si="11"/>
        <v/>
      </c>
      <c r="J47" s="25" t="str">
        <f t="shared" si="12"/>
        <v/>
      </c>
      <c r="K47" s="28"/>
      <c r="L47" s="28" t="str">
        <f t="shared" si="13"/>
        <v/>
      </c>
      <c r="M47" s="37"/>
      <c r="N47" s="23" t="str">
        <f>IF(B47&lt;&gt;"",IF(AND(I47&gt;0,R47&gt;0),(K47+J47-I47)*VLOOKUP(M47,Segédlet!$G$5:$H$12,2,0),(K47+J47)*VLOOKUP(M47,Segédlet!$G$5:$H$12,2,0)),"")</f>
        <v/>
      </c>
      <c r="O47" s="23" t="str">
        <f>IF(B47&lt;&gt;"",IF(G47&lt;=14,G47*J47*VLOOKUP(C47,Segédlet!$C$5:$E$37,2,0),J47*14*VLOOKUP(C47,Segédlet!$C$5:$E$37,2,0)+(G47-14)*J47*VLOOKUP(C47,Segédlet!$C$5:$E$37,3,0)),"")</f>
        <v/>
      </c>
      <c r="P47" s="23" t="str">
        <f>IF(B47&lt;&gt;"",IF(G47&lt;=14,G47*K47*VLOOKUP(C47,Segédlet!$C$5:$E$37,2,0),K47*14*VLOOKUP(C47,Segédlet!$C$5:$E$37,2,0)+(G47-14)*K47*VLOOKUP(C47,Segédlet!$C$5:$E$37,3,0)),"")</f>
        <v/>
      </c>
      <c r="Q47" s="29" t="str">
        <f t="shared" si="14"/>
        <v/>
      </c>
      <c r="R47" s="29" t="str">
        <f t="shared" si="15"/>
        <v/>
      </c>
      <c r="S47" s="23" t="str">
        <f>IF(B47&lt;&gt;"",IF(OR(B47=Segédlet!$J$6,B47=Segédlet!$J$7),0,IF(AND(B47=Segédlet!$J$5,E47&lt;10),IF(E47&lt;10,E47*70*K47,"700"),IF(B47 &lt;&gt; Segédlet!$J$5,0,700*K47))),"")</f>
        <v/>
      </c>
      <c r="T47" s="43" t="str">
        <f t="shared" si="16"/>
        <v/>
      </c>
    </row>
    <row r="48" spans="1:20" s="24" customFormat="1" x14ac:dyDescent="0.2">
      <c r="A48" s="26" t="str">
        <f t="shared" si="8"/>
        <v xml:space="preserve"> </v>
      </c>
      <c r="B48" s="27"/>
      <c r="C48" s="35"/>
      <c r="D48" s="42" t="str">
        <f>IF(C48&lt;&gt;"",INDEX(Segédlet!$B$5:$B$37,MATCH(C48,Segédlet!$C$5:$C$37,0)),"")</f>
        <v/>
      </c>
      <c r="E48" s="36"/>
      <c r="F48" s="25"/>
      <c r="G48" s="22" t="str">
        <f t="shared" si="9"/>
        <v/>
      </c>
      <c r="H48" s="25" t="str">
        <f t="shared" si="10"/>
        <v/>
      </c>
      <c r="I48" s="25" t="str">
        <f t="shared" si="11"/>
        <v/>
      </c>
      <c r="J48" s="25" t="str">
        <f t="shared" si="12"/>
        <v/>
      </c>
      <c r="K48" s="28"/>
      <c r="L48" s="28" t="str">
        <f t="shared" si="13"/>
        <v/>
      </c>
      <c r="M48" s="37"/>
      <c r="N48" s="23" t="str">
        <f>IF(B48&lt;&gt;"",IF(AND(I48&gt;0,R48&gt;0),(K48+J48-I48)*VLOOKUP(M48,Segédlet!$G$5:$H$12,2,0),(K48+J48)*VLOOKUP(M48,Segédlet!$G$5:$H$12,2,0)),"")</f>
        <v/>
      </c>
      <c r="O48" s="23" t="str">
        <f>IF(B48&lt;&gt;"",IF(G48&lt;=14,G48*J48*VLOOKUP(C48,Segédlet!$C$5:$E$37,2,0),J48*14*VLOOKUP(C48,Segédlet!$C$5:$E$37,2,0)+(G48-14)*J48*VLOOKUP(C48,Segédlet!$C$5:$E$37,3,0)),"")</f>
        <v/>
      </c>
      <c r="P48" s="23" t="str">
        <f>IF(B48&lt;&gt;"",IF(G48&lt;=14,G48*K48*VLOOKUP(C48,Segédlet!$C$5:$E$37,2,0),K48*14*VLOOKUP(C48,Segédlet!$C$5:$E$37,2,0)+(G48-14)*K48*VLOOKUP(C48,Segédlet!$C$5:$E$37,3,0)),"")</f>
        <v/>
      </c>
      <c r="Q48" s="29" t="str">
        <f t="shared" si="14"/>
        <v/>
      </c>
      <c r="R48" s="29" t="str">
        <f t="shared" si="15"/>
        <v/>
      </c>
      <c r="S48" s="23" t="str">
        <f>IF(B48&lt;&gt;"",IF(OR(B48=Segédlet!$J$6,B48=Segédlet!$J$7),0,IF(AND(B48=Segédlet!$J$5,E48&lt;10),IF(E48&lt;10,E48*70*K48,"700"),IF(B48 &lt;&gt; Segédlet!$J$5,0,700*K48))),"")</f>
        <v/>
      </c>
      <c r="T48" s="43" t="str">
        <f t="shared" si="16"/>
        <v/>
      </c>
    </row>
    <row r="49" spans="1:20" s="24" customFormat="1" x14ac:dyDescent="0.2">
      <c r="A49" s="26" t="str">
        <f t="shared" si="8"/>
        <v xml:space="preserve"> </v>
      </c>
      <c r="B49" s="27"/>
      <c r="C49" s="35"/>
      <c r="D49" s="42" t="str">
        <f>IF(C49&lt;&gt;"",INDEX(Segédlet!$B$5:$B$37,MATCH(C49,Segédlet!$C$5:$C$37,0)),"")</f>
        <v/>
      </c>
      <c r="E49" s="36"/>
      <c r="F49" s="25"/>
      <c r="G49" s="22" t="str">
        <f t="shared" si="9"/>
        <v/>
      </c>
      <c r="H49" s="25" t="str">
        <f t="shared" si="10"/>
        <v/>
      </c>
      <c r="I49" s="25" t="str">
        <f t="shared" si="11"/>
        <v/>
      </c>
      <c r="J49" s="25" t="str">
        <f t="shared" si="12"/>
        <v/>
      </c>
      <c r="K49" s="28"/>
      <c r="L49" s="28" t="str">
        <f t="shared" si="13"/>
        <v/>
      </c>
      <c r="M49" s="37"/>
      <c r="N49" s="23" t="str">
        <f>IF(B49&lt;&gt;"",IF(AND(I49&gt;0,R49&gt;0),(K49+J49-I49)*VLOOKUP(M49,Segédlet!$G$5:$H$12,2,0),(K49+J49)*VLOOKUP(M49,Segédlet!$G$5:$H$12,2,0)),"")</f>
        <v/>
      </c>
      <c r="O49" s="23" t="str">
        <f>IF(B49&lt;&gt;"",IF(G49&lt;=14,G49*J49*VLOOKUP(C49,Segédlet!$C$5:$E$37,2,0),J49*14*VLOOKUP(C49,Segédlet!$C$5:$E$37,2,0)+(G49-14)*J49*VLOOKUP(C49,Segédlet!$C$5:$E$37,3,0)),"")</f>
        <v/>
      </c>
      <c r="P49" s="23" t="str">
        <f>IF(B49&lt;&gt;"",IF(G49&lt;=14,G49*K49*VLOOKUP(C49,Segédlet!$C$5:$E$37,2,0),K49*14*VLOOKUP(C49,Segédlet!$C$5:$E$37,2,0)+(G49-14)*K49*VLOOKUP(C49,Segédlet!$C$5:$E$37,3,0)),"")</f>
        <v/>
      </c>
      <c r="Q49" s="29" t="str">
        <f t="shared" si="14"/>
        <v/>
      </c>
      <c r="R49" s="29" t="str">
        <f t="shared" si="15"/>
        <v/>
      </c>
      <c r="S49" s="23" t="str">
        <f>IF(B49&lt;&gt;"",IF(OR(B49=Segédlet!$J$6,B49=Segédlet!$J$7),0,IF(AND(B49=Segédlet!$J$5,E49&lt;10),IF(E49&lt;10,E49*70*K49,"700"),IF(B49 &lt;&gt; Segédlet!$J$5,0,700*K49))),"")</f>
        <v/>
      </c>
      <c r="T49" s="43" t="str">
        <f t="shared" si="16"/>
        <v/>
      </c>
    </row>
    <row r="50" spans="1:20" s="24" customFormat="1" x14ac:dyDescent="0.2">
      <c r="A50" s="26" t="str">
        <f t="shared" si="8"/>
        <v xml:space="preserve"> </v>
      </c>
      <c r="B50" s="27"/>
      <c r="C50" s="35"/>
      <c r="D50" s="42" t="str">
        <f>IF(C50&lt;&gt;"",INDEX(Segédlet!$B$5:$B$37,MATCH(C50,Segédlet!$C$5:$C$37,0)),"")</f>
        <v/>
      </c>
      <c r="E50" s="36"/>
      <c r="F50" s="25"/>
      <c r="G50" s="22" t="str">
        <f t="shared" si="9"/>
        <v/>
      </c>
      <c r="H50" s="25" t="str">
        <f t="shared" si="10"/>
        <v/>
      </c>
      <c r="I50" s="25" t="str">
        <f t="shared" si="11"/>
        <v/>
      </c>
      <c r="J50" s="25" t="str">
        <f t="shared" si="12"/>
        <v/>
      </c>
      <c r="K50" s="28"/>
      <c r="L50" s="28" t="str">
        <f t="shared" si="13"/>
        <v/>
      </c>
      <c r="M50" s="37"/>
      <c r="N50" s="23" t="str">
        <f>IF(B50&lt;&gt;"",IF(AND(I50&gt;0,R50&gt;0),(K50+J50-I50)*VLOOKUP(M50,Segédlet!$G$5:$H$12,2,0),(K50+J50)*VLOOKUP(M50,Segédlet!$G$5:$H$12,2,0)),"")</f>
        <v/>
      </c>
      <c r="O50" s="23" t="str">
        <f>IF(B50&lt;&gt;"",IF(G50&lt;=14,G50*J50*VLOOKUP(C50,Segédlet!$C$5:$E$37,2,0),J50*14*VLOOKUP(C50,Segédlet!$C$5:$E$37,2,0)+(G50-14)*J50*VLOOKUP(C50,Segédlet!$C$5:$E$37,3,0)),"")</f>
        <v/>
      </c>
      <c r="P50" s="23" t="str">
        <f>IF(B50&lt;&gt;"",IF(G50&lt;=14,G50*K50*VLOOKUP(C50,Segédlet!$C$5:$E$37,2,0),K50*14*VLOOKUP(C50,Segédlet!$C$5:$E$37,2,0)+(G50-14)*K50*VLOOKUP(C50,Segédlet!$C$5:$E$37,3,0)),"")</f>
        <v/>
      </c>
      <c r="Q50" s="29" t="str">
        <f t="shared" si="14"/>
        <v/>
      </c>
      <c r="R50" s="29" t="str">
        <f t="shared" si="15"/>
        <v/>
      </c>
      <c r="S50" s="23" t="str">
        <f>IF(B50&lt;&gt;"",IF(OR(B50=Segédlet!$J$6,B50=Segédlet!$J$7),0,IF(AND(B50=Segédlet!$J$5,E50&lt;10),IF(E50&lt;10,E50*70*K50,"700"),IF(B50 &lt;&gt; Segédlet!$J$5,0,700*K50))),"")</f>
        <v/>
      </c>
      <c r="T50" s="43" t="str">
        <f t="shared" si="16"/>
        <v/>
      </c>
    </row>
    <row r="51" spans="1:20" s="24" customFormat="1" x14ac:dyDescent="0.2">
      <c r="A51" s="26" t="str">
        <f t="shared" si="8"/>
        <v xml:space="preserve"> </v>
      </c>
      <c r="B51" s="27"/>
      <c r="C51" s="35"/>
      <c r="D51" s="42" t="str">
        <f>IF(C51&lt;&gt;"",INDEX(Segédlet!$B$5:$B$37,MATCH(C51,Segédlet!$C$5:$C$37,0)),"")</f>
        <v/>
      </c>
      <c r="E51" s="36"/>
      <c r="F51" s="25"/>
      <c r="G51" s="22" t="str">
        <f t="shared" si="9"/>
        <v/>
      </c>
      <c r="H51" s="25" t="str">
        <f t="shared" si="10"/>
        <v/>
      </c>
      <c r="I51" s="25" t="str">
        <f t="shared" si="11"/>
        <v/>
      </c>
      <c r="J51" s="25" t="str">
        <f t="shared" si="12"/>
        <v/>
      </c>
      <c r="K51" s="28"/>
      <c r="L51" s="28" t="str">
        <f t="shared" si="13"/>
        <v/>
      </c>
      <c r="M51" s="37"/>
      <c r="N51" s="23" t="str">
        <f>IF(B51&lt;&gt;"",IF(AND(I51&gt;0,R51&gt;0),(K51+J51-I51)*VLOOKUP(M51,Segédlet!$G$5:$H$12,2,0),(K51+J51)*VLOOKUP(M51,Segédlet!$G$5:$H$12,2,0)),"")</f>
        <v/>
      </c>
      <c r="O51" s="23" t="str">
        <f>IF(B51&lt;&gt;"",IF(G51&lt;=14,G51*J51*VLOOKUP(C51,Segédlet!$C$5:$E$37,2,0),J51*14*VLOOKUP(C51,Segédlet!$C$5:$E$37,2,0)+(G51-14)*J51*VLOOKUP(C51,Segédlet!$C$5:$E$37,3,0)),"")</f>
        <v/>
      </c>
      <c r="P51" s="23" t="str">
        <f>IF(B51&lt;&gt;"",IF(G51&lt;=14,G51*K51*VLOOKUP(C51,Segédlet!$C$5:$E$37,2,0),K51*14*VLOOKUP(C51,Segédlet!$C$5:$E$37,2,0)+(G51-14)*K51*VLOOKUP(C51,Segédlet!$C$5:$E$37,3,0)),"")</f>
        <v/>
      </c>
      <c r="Q51" s="29" t="str">
        <f t="shared" si="14"/>
        <v/>
      </c>
      <c r="R51" s="29" t="str">
        <f t="shared" si="15"/>
        <v/>
      </c>
      <c r="S51" s="23" t="str">
        <f>IF(B51&lt;&gt;"",IF(OR(B51=Segédlet!$J$6,B51=Segédlet!$J$7),0,IF(AND(B51=Segédlet!$J$5,E51&lt;10),IF(E51&lt;10,E51*70*K51,"700"),IF(B51 &lt;&gt; Segédlet!$J$5,0,700*K51))),"")</f>
        <v/>
      </c>
      <c r="T51" s="43" t="str">
        <f t="shared" si="16"/>
        <v/>
      </c>
    </row>
    <row r="52" spans="1:20" s="24" customFormat="1" x14ac:dyDescent="0.2">
      <c r="A52" s="26" t="str">
        <f t="shared" si="8"/>
        <v xml:space="preserve"> </v>
      </c>
      <c r="B52" s="27"/>
      <c r="C52" s="35"/>
      <c r="D52" s="42" t="str">
        <f>IF(C52&lt;&gt;"",INDEX(Segédlet!$B$5:$B$37,MATCH(C52,Segédlet!$C$5:$C$37,0)),"")</f>
        <v/>
      </c>
      <c r="E52" s="36"/>
      <c r="F52" s="25"/>
      <c r="G52" s="22" t="str">
        <f t="shared" si="9"/>
        <v/>
      </c>
      <c r="H52" s="25" t="str">
        <f t="shared" si="10"/>
        <v/>
      </c>
      <c r="I52" s="25" t="str">
        <f t="shared" si="11"/>
        <v/>
      </c>
      <c r="J52" s="25" t="str">
        <f t="shared" si="12"/>
        <v/>
      </c>
      <c r="K52" s="28"/>
      <c r="L52" s="28" t="str">
        <f t="shared" si="13"/>
        <v/>
      </c>
      <c r="M52" s="37"/>
      <c r="N52" s="23" t="str">
        <f>IF(B52&lt;&gt;"",IF(AND(I52&gt;0,R52&gt;0),(K52+J52-I52)*VLOOKUP(M52,Segédlet!$G$5:$H$12,2,0),(K52+J52)*VLOOKUP(M52,Segédlet!$G$5:$H$12,2,0)),"")</f>
        <v/>
      </c>
      <c r="O52" s="23" t="str">
        <f>IF(B52&lt;&gt;"",IF(G52&lt;=14,G52*J52*VLOOKUP(C52,Segédlet!$C$5:$E$37,2,0),J52*14*VLOOKUP(C52,Segédlet!$C$5:$E$37,2,0)+(G52-14)*J52*VLOOKUP(C52,Segédlet!$C$5:$E$37,3,0)),"")</f>
        <v/>
      </c>
      <c r="P52" s="23" t="str">
        <f>IF(B52&lt;&gt;"",IF(G52&lt;=14,G52*K52*VLOOKUP(C52,Segédlet!$C$5:$E$37,2,0),K52*14*VLOOKUP(C52,Segédlet!$C$5:$E$37,2,0)+(G52-14)*K52*VLOOKUP(C52,Segédlet!$C$5:$E$37,3,0)),"")</f>
        <v/>
      </c>
      <c r="Q52" s="29" t="str">
        <f t="shared" si="14"/>
        <v/>
      </c>
      <c r="R52" s="29" t="str">
        <f t="shared" si="15"/>
        <v/>
      </c>
      <c r="S52" s="23" t="str">
        <f>IF(B52&lt;&gt;"",IF(OR(B52=Segédlet!$J$6,B52=Segédlet!$J$7),0,IF(AND(B52=Segédlet!$J$5,E52&lt;10),IF(E52&lt;10,E52*70*K52,"700"),IF(B52 &lt;&gt; Segédlet!$J$5,0,700*K52))),"")</f>
        <v/>
      </c>
      <c r="T52" s="43" t="str">
        <f t="shared" si="16"/>
        <v/>
      </c>
    </row>
    <row r="53" spans="1:20" s="24" customFormat="1" x14ac:dyDescent="0.2">
      <c r="A53" s="26" t="str">
        <f t="shared" si="8"/>
        <v xml:space="preserve"> </v>
      </c>
      <c r="B53" s="27"/>
      <c r="C53" s="35"/>
      <c r="D53" s="42" t="str">
        <f>IF(C53&lt;&gt;"",INDEX(Segédlet!$B$5:$B$37,MATCH(C53,Segédlet!$C$5:$C$37,0)),"")</f>
        <v/>
      </c>
      <c r="E53" s="36"/>
      <c r="F53" s="25"/>
      <c r="G53" s="22" t="str">
        <f t="shared" si="9"/>
        <v/>
      </c>
      <c r="H53" s="25" t="str">
        <f t="shared" si="10"/>
        <v/>
      </c>
      <c r="I53" s="25" t="str">
        <f t="shared" si="11"/>
        <v/>
      </c>
      <c r="J53" s="25" t="str">
        <f t="shared" si="12"/>
        <v/>
      </c>
      <c r="K53" s="28"/>
      <c r="L53" s="28" t="str">
        <f t="shared" si="13"/>
        <v/>
      </c>
      <c r="M53" s="37"/>
      <c r="N53" s="23" t="str">
        <f>IF(B53&lt;&gt;"",IF(AND(I53&gt;0,R53&gt;0),(K53+J53-I53)*VLOOKUP(M53,Segédlet!$G$5:$H$12,2,0),(K53+J53)*VLOOKUP(M53,Segédlet!$G$5:$H$12,2,0)),"")</f>
        <v/>
      </c>
      <c r="O53" s="23" t="str">
        <f>IF(B53&lt;&gt;"",IF(G53&lt;=14,G53*J53*VLOOKUP(C53,Segédlet!$C$5:$E$37,2,0),J53*14*VLOOKUP(C53,Segédlet!$C$5:$E$37,2,0)+(G53-14)*J53*VLOOKUP(C53,Segédlet!$C$5:$E$37,3,0)),"")</f>
        <v/>
      </c>
      <c r="P53" s="23" t="str">
        <f>IF(B53&lt;&gt;"",IF(G53&lt;=14,G53*K53*VLOOKUP(C53,Segédlet!$C$5:$E$37,2,0),K53*14*VLOOKUP(C53,Segédlet!$C$5:$E$37,2,0)+(G53-14)*K53*VLOOKUP(C53,Segédlet!$C$5:$E$37,3,0)),"")</f>
        <v/>
      </c>
      <c r="Q53" s="29" t="str">
        <f t="shared" si="14"/>
        <v/>
      </c>
      <c r="R53" s="29" t="str">
        <f t="shared" si="15"/>
        <v/>
      </c>
      <c r="S53" s="23" t="str">
        <f>IF(B53&lt;&gt;"",IF(OR(B53=Segédlet!$J$6,B53=Segédlet!$J$7),0,IF(AND(B53=Segédlet!$J$5,E53&lt;10),IF(E53&lt;10,E53*70*K53,"700"),IF(B53 &lt;&gt; Segédlet!$J$5,0,700*K53))),"")</f>
        <v/>
      </c>
      <c r="T53" s="43" t="str">
        <f t="shared" si="16"/>
        <v/>
      </c>
    </row>
    <row r="54" spans="1:20" s="24" customFormat="1" x14ac:dyDescent="0.2">
      <c r="A54" s="26" t="str">
        <f t="shared" si="8"/>
        <v xml:space="preserve"> </v>
      </c>
      <c r="B54" s="27"/>
      <c r="C54" s="35"/>
      <c r="D54" s="42" t="str">
        <f>IF(C54&lt;&gt;"",INDEX(Segédlet!$B$5:$B$37,MATCH(C54,Segédlet!$C$5:$C$37,0)),"")</f>
        <v/>
      </c>
      <c r="E54" s="36"/>
      <c r="F54" s="25"/>
      <c r="G54" s="22" t="str">
        <f t="shared" si="9"/>
        <v/>
      </c>
      <c r="H54" s="25" t="str">
        <f t="shared" si="10"/>
        <v/>
      </c>
      <c r="I54" s="25" t="str">
        <f t="shared" si="11"/>
        <v/>
      </c>
      <c r="J54" s="25" t="str">
        <f t="shared" si="12"/>
        <v/>
      </c>
      <c r="K54" s="28"/>
      <c r="L54" s="28" t="str">
        <f t="shared" si="13"/>
        <v/>
      </c>
      <c r="M54" s="37"/>
      <c r="N54" s="23" t="str">
        <f>IF(B54&lt;&gt;"",IF(AND(I54&gt;0,R54&gt;0),(K54+J54-I54)*VLOOKUP(M54,Segédlet!$G$5:$H$12,2,0),(K54+J54)*VLOOKUP(M54,Segédlet!$G$5:$H$12,2,0)),"")</f>
        <v/>
      </c>
      <c r="O54" s="23" t="str">
        <f>IF(B54&lt;&gt;"",IF(G54&lt;=14,G54*J54*VLOOKUP(C54,Segédlet!$C$5:$E$37,2,0),J54*14*VLOOKUP(C54,Segédlet!$C$5:$E$37,2,0)+(G54-14)*J54*VLOOKUP(C54,Segédlet!$C$5:$E$37,3,0)),"")</f>
        <v/>
      </c>
      <c r="P54" s="23" t="str">
        <f>IF(B54&lt;&gt;"",IF(G54&lt;=14,G54*K54*VLOOKUP(C54,Segédlet!$C$5:$E$37,2,0),K54*14*VLOOKUP(C54,Segédlet!$C$5:$E$37,2,0)+(G54-14)*K54*VLOOKUP(C54,Segédlet!$C$5:$E$37,3,0)),"")</f>
        <v/>
      </c>
      <c r="Q54" s="29" t="str">
        <f t="shared" si="14"/>
        <v/>
      </c>
      <c r="R54" s="29" t="str">
        <f t="shared" si="15"/>
        <v/>
      </c>
      <c r="S54" s="23" t="str">
        <f>IF(B54&lt;&gt;"",IF(OR(B54=Segédlet!$J$6,B54=Segédlet!$J$7),0,IF(AND(B54=Segédlet!$J$5,E54&lt;10),IF(E54&lt;10,E54*70*K54,"700"),IF(B54 &lt;&gt; Segédlet!$J$5,0,700*K54))),"")</f>
        <v/>
      </c>
      <c r="T54" s="43" t="str">
        <f t="shared" si="16"/>
        <v/>
      </c>
    </row>
    <row r="55" spans="1:20" s="24" customFormat="1" x14ac:dyDescent="0.2">
      <c r="A55" s="26" t="str">
        <f t="shared" si="8"/>
        <v xml:space="preserve"> </v>
      </c>
      <c r="B55" s="27"/>
      <c r="C55" s="35"/>
      <c r="D55" s="42" t="str">
        <f>IF(C55&lt;&gt;"",INDEX(Segédlet!$B$5:$B$37,MATCH(C55,Segédlet!$C$5:$C$37,0)),"")</f>
        <v/>
      </c>
      <c r="E55" s="36"/>
      <c r="F55" s="25"/>
      <c r="G55" s="22" t="str">
        <f t="shared" si="9"/>
        <v/>
      </c>
      <c r="H55" s="25" t="str">
        <f t="shared" si="10"/>
        <v/>
      </c>
      <c r="I55" s="25" t="str">
        <f t="shared" si="11"/>
        <v/>
      </c>
      <c r="J55" s="25" t="str">
        <f t="shared" si="12"/>
        <v/>
      </c>
      <c r="K55" s="28"/>
      <c r="L55" s="28" t="str">
        <f t="shared" si="13"/>
        <v/>
      </c>
      <c r="M55" s="37"/>
      <c r="N55" s="23" t="str">
        <f>IF(B55&lt;&gt;"",IF(AND(I55&gt;0,R55&gt;0),(K55+J55-I55)*VLOOKUP(M55,Segédlet!$G$5:$H$12,2,0),(K55+J55)*VLOOKUP(M55,Segédlet!$G$5:$H$12,2,0)),"")</f>
        <v/>
      </c>
      <c r="O55" s="23" t="str">
        <f>IF(B55&lt;&gt;"",IF(G55&lt;=14,G55*J55*VLOOKUP(C55,Segédlet!$C$5:$E$37,2,0),J55*14*VLOOKUP(C55,Segédlet!$C$5:$E$37,2,0)+(G55-14)*J55*VLOOKUP(C55,Segédlet!$C$5:$E$37,3,0)),"")</f>
        <v/>
      </c>
      <c r="P55" s="23" t="str">
        <f>IF(B55&lt;&gt;"",IF(G55&lt;=14,G55*K55*VLOOKUP(C55,Segédlet!$C$5:$E$37,2,0),K55*14*VLOOKUP(C55,Segédlet!$C$5:$E$37,2,0)+(G55-14)*K55*VLOOKUP(C55,Segédlet!$C$5:$E$37,3,0)),"")</f>
        <v/>
      </c>
      <c r="Q55" s="29" t="str">
        <f t="shared" si="14"/>
        <v/>
      </c>
      <c r="R55" s="29" t="str">
        <f t="shared" si="15"/>
        <v/>
      </c>
      <c r="S55" s="23" t="str">
        <f>IF(B55&lt;&gt;"",IF(OR(B55=Segédlet!$J$6,B55=Segédlet!$J$7),0,IF(AND(B55=Segédlet!$J$5,E55&lt;10),IF(E55&lt;10,E55*70*K55,"700"),IF(B55 &lt;&gt; Segédlet!$J$5,0,700*K55))),"")</f>
        <v/>
      </c>
      <c r="T55" s="43" t="str">
        <f t="shared" si="16"/>
        <v/>
      </c>
    </row>
    <row r="56" spans="1:20" s="24" customFormat="1" x14ac:dyDescent="0.2">
      <c r="A56" s="26" t="str">
        <f t="shared" si="8"/>
        <v xml:space="preserve"> </v>
      </c>
      <c r="B56" s="27"/>
      <c r="C56" s="35"/>
      <c r="D56" s="42" t="str">
        <f>IF(C56&lt;&gt;"",INDEX(Segédlet!$B$5:$B$37,MATCH(C56,Segédlet!$C$5:$C$37,0)),"")</f>
        <v/>
      </c>
      <c r="E56" s="36"/>
      <c r="F56" s="25"/>
      <c r="G56" s="22" t="str">
        <f t="shared" si="9"/>
        <v/>
      </c>
      <c r="H56" s="25" t="str">
        <f t="shared" si="10"/>
        <v/>
      </c>
      <c r="I56" s="25" t="str">
        <f t="shared" si="11"/>
        <v/>
      </c>
      <c r="J56" s="25" t="str">
        <f t="shared" si="12"/>
        <v/>
      </c>
      <c r="K56" s="28"/>
      <c r="L56" s="28" t="str">
        <f t="shared" si="13"/>
        <v/>
      </c>
      <c r="M56" s="37"/>
      <c r="N56" s="23" t="str">
        <f>IF(B56&lt;&gt;"",IF(AND(I56&gt;0,R56&gt;0),(K56+J56-I56)*VLOOKUP(M56,Segédlet!$G$5:$H$12,2,0),(K56+J56)*VLOOKUP(M56,Segédlet!$G$5:$H$12,2,0)),"")</f>
        <v/>
      </c>
      <c r="O56" s="23" t="str">
        <f>IF(B56&lt;&gt;"",IF(G56&lt;=14,G56*J56*VLOOKUP(C56,Segédlet!$C$5:$E$37,2,0),J56*14*VLOOKUP(C56,Segédlet!$C$5:$E$37,2,0)+(G56-14)*J56*VLOOKUP(C56,Segédlet!$C$5:$E$37,3,0)),"")</f>
        <v/>
      </c>
      <c r="P56" s="23" t="str">
        <f>IF(B56&lt;&gt;"",IF(G56&lt;=14,G56*K56*VLOOKUP(C56,Segédlet!$C$5:$E$37,2,0),K56*14*VLOOKUP(C56,Segédlet!$C$5:$E$37,2,0)+(G56-14)*K56*VLOOKUP(C56,Segédlet!$C$5:$E$37,3,0)),"")</f>
        <v/>
      </c>
      <c r="Q56" s="29" t="str">
        <f t="shared" si="14"/>
        <v/>
      </c>
      <c r="R56" s="29" t="str">
        <f t="shared" si="15"/>
        <v/>
      </c>
      <c r="S56" s="23" t="str">
        <f>IF(B56&lt;&gt;"",IF(OR(B56=Segédlet!$J$6,B56=Segédlet!$J$7),0,IF(AND(B56=Segédlet!$J$5,E56&lt;10),IF(E56&lt;10,E56*70*K56,"700"),IF(B56 &lt;&gt; Segédlet!$J$5,0,700*K56))),"")</f>
        <v/>
      </c>
      <c r="T56" s="43" t="str">
        <f t="shared" si="16"/>
        <v/>
      </c>
    </row>
    <row r="57" spans="1:20" s="24" customFormat="1" x14ac:dyDescent="0.2">
      <c r="A57" s="26" t="str">
        <f t="shared" si="8"/>
        <v xml:space="preserve"> </v>
      </c>
      <c r="B57" s="27"/>
      <c r="C57" s="35"/>
      <c r="D57" s="42" t="str">
        <f>IF(C57&lt;&gt;"",INDEX(Segédlet!$B$5:$B$37,MATCH(C57,Segédlet!$C$5:$C$37,0)),"")</f>
        <v/>
      </c>
      <c r="E57" s="36"/>
      <c r="F57" s="25"/>
      <c r="G57" s="22" t="str">
        <f t="shared" si="9"/>
        <v/>
      </c>
      <c r="H57" s="25" t="str">
        <f t="shared" si="10"/>
        <v/>
      </c>
      <c r="I57" s="25" t="str">
        <f t="shared" si="11"/>
        <v/>
      </c>
      <c r="J57" s="25" t="str">
        <f t="shared" si="12"/>
        <v/>
      </c>
      <c r="K57" s="28"/>
      <c r="L57" s="28" t="str">
        <f t="shared" si="13"/>
        <v/>
      </c>
      <c r="M57" s="37"/>
      <c r="N57" s="23" t="str">
        <f>IF(B57&lt;&gt;"",IF(AND(I57&gt;0,R57&gt;0),(K57+J57-I57)*VLOOKUP(M57,Segédlet!$G$5:$H$12,2,0),(K57+J57)*VLOOKUP(M57,Segédlet!$G$5:$H$12,2,0)),"")</f>
        <v/>
      </c>
      <c r="O57" s="23" t="str">
        <f>IF(B57&lt;&gt;"",IF(G57&lt;=14,G57*J57*VLOOKUP(C57,Segédlet!$C$5:$E$37,2,0),J57*14*VLOOKUP(C57,Segédlet!$C$5:$E$37,2,0)+(G57-14)*J57*VLOOKUP(C57,Segédlet!$C$5:$E$37,3,0)),"")</f>
        <v/>
      </c>
      <c r="P57" s="23" t="str">
        <f>IF(B57&lt;&gt;"",IF(G57&lt;=14,G57*K57*VLOOKUP(C57,Segédlet!$C$5:$E$37,2,0),K57*14*VLOOKUP(C57,Segédlet!$C$5:$E$37,2,0)+(G57-14)*K57*VLOOKUP(C57,Segédlet!$C$5:$E$37,3,0)),"")</f>
        <v/>
      </c>
      <c r="Q57" s="29" t="str">
        <f t="shared" si="14"/>
        <v/>
      </c>
      <c r="R57" s="29" t="str">
        <f t="shared" si="15"/>
        <v/>
      </c>
      <c r="S57" s="23" t="str">
        <f>IF(B57&lt;&gt;"",IF(OR(B57=Segédlet!$J$6,B57=Segédlet!$J$7),0,IF(AND(B57=Segédlet!$J$5,E57&lt;10),IF(E57&lt;10,E57*70*K57,"700"),IF(B57 &lt;&gt; Segédlet!$J$5,0,700*K57))),"")</f>
        <v/>
      </c>
      <c r="T57" s="43" t="str">
        <f t="shared" si="16"/>
        <v/>
      </c>
    </row>
    <row r="58" spans="1:20" s="24" customFormat="1" x14ac:dyDescent="0.2">
      <c r="A58" s="26" t="str">
        <f t="shared" si="8"/>
        <v xml:space="preserve"> </v>
      </c>
      <c r="B58" s="27"/>
      <c r="C58" s="35"/>
      <c r="D58" s="42" t="str">
        <f>IF(C58&lt;&gt;"",INDEX(Segédlet!$B$5:$B$37,MATCH(C58,Segédlet!$C$5:$C$37,0)),"")</f>
        <v/>
      </c>
      <c r="E58" s="36"/>
      <c r="F58" s="25"/>
      <c r="G58" s="22" t="str">
        <f t="shared" si="9"/>
        <v/>
      </c>
      <c r="H58" s="25" t="str">
        <f t="shared" si="10"/>
        <v/>
      </c>
      <c r="I58" s="25" t="str">
        <f t="shared" si="11"/>
        <v/>
      </c>
      <c r="J58" s="25" t="str">
        <f t="shared" si="12"/>
        <v/>
      </c>
      <c r="K58" s="28"/>
      <c r="L58" s="28" t="str">
        <f t="shared" si="13"/>
        <v/>
      </c>
      <c r="M58" s="37"/>
      <c r="N58" s="23" t="str">
        <f>IF(B58&lt;&gt;"",IF(AND(I58&gt;0,R58&gt;0),(K58+J58-I58)*VLOOKUP(M58,Segédlet!$G$5:$H$12,2,0),(K58+J58)*VLOOKUP(M58,Segédlet!$G$5:$H$12,2,0)),"")</f>
        <v/>
      </c>
      <c r="O58" s="23" t="str">
        <f>IF(B58&lt;&gt;"",IF(G58&lt;=14,G58*J58*VLOOKUP(C58,Segédlet!$C$5:$E$37,2,0),J58*14*VLOOKUP(C58,Segédlet!$C$5:$E$37,2,0)+(G58-14)*J58*VLOOKUP(C58,Segédlet!$C$5:$E$37,3,0)),"")</f>
        <v/>
      </c>
      <c r="P58" s="23" t="str">
        <f>IF(B58&lt;&gt;"",IF(G58&lt;=14,G58*K58*VLOOKUP(C58,Segédlet!$C$5:$E$37,2,0),K58*14*VLOOKUP(C58,Segédlet!$C$5:$E$37,2,0)+(G58-14)*K58*VLOOKUP(C58,Segédlet!$C$5:$E$37,3,0)),"")</f>
        <v/>
      </c>
      <c r="Q58" s="29" t="str">
        <f t="shared" si="14"/>
        <v/>
      </c>
      <c r="R58" s="29" t="str">
        <f t="shared" si="15"/>
        <v/>
      </c>
      <c r="S58" s="23" t="str">
        <f>IF(B58&lt;&gt;"",IF(OR(B58=Segédlet!$J$6,B58=Segédlet!$J$7),0,IF(AND(B58=Segédlet!$J$5,E58&lt;10),IF(E58&lt;10,E58*70*K58,"700"),IF(B58 &lt;&gt; Segédlet!$J$5,0,700*K58))),"")</f>
        <v/>
      </c>
      <c r="T58" s="43" t="str">
        <f t="shared" si="16"/>
        <v/>
      </c>
    </row>
    <row r="59" spans="1:20" s="24" customFormat="1" x14ac:dyDescent="0.2">
      <c r="A59" s="26" t="str">
        <f t="shared" si="8"/>
        <v xml:space="preserve"> </v>
      </c>
      <c r="B59" s="27"/>
      <c r="C59" s="35"/>
      <c r="D59" s="42" t="str">
        <f>IF(C59&lt;&gt;"",INDEX(Segédlet!$B$5:$B$37,MATCH(C59,Segédlet!$C$5:$C$37,0)),"")</f>
        <v/>
      </c>
      <c r="E59" s="36"/>
      <c r="F59" s="25"/>
      <c r="G59" s="22" t="str">
        <f t="shared" si="9"/>
        <v/>
      </c>
      <c r="H59" s="25" t="str">
        <f t="shared" si="10"/>
        <v/>
      </c>
      <c r="I59" s="25" t="str">
        <f t="shared" si="11"/>
        <v/>
      </c>
      <c r="J59" s="25" t="str">
        <f t="shared" si="12"/>
        <v/>
      </c>
      <c r="K59" s="28"/>
      <c r="L59" s="28" t="str">
        <f t="shared" si="13"/>
        <v/>
      </c>
      <c r="M59" s="37"/>
      <c r="N59" s="23" t="str">
        <f>IF(B59&lt;&gt;"",IF(AND(I59&gt;0,R59&gt;0),(K59+J59-I59)*VLOOKUP(M59,Segédlet!$G$5:$H$12,2,0),(K59+J59)*VLOOKUP(M59,Segédlet!$G$5:$H$12,2,0)),"")</f>
        <v/>
      </c>
      <c r="O59" s="23" t="str">
        <f>IF(B59&lt;&gt;"",IF(G59&lt;=14,G59*J59*VLOOKUP(C59,Segédlet!$C$5:$E$37,2,0),J59*14*VLOOKUP(C59,Segédlet!$C$5:$E$37,2,0)+(G59-14)*J59*VLOOKUP(C59,Segédlet!$C$5:$E$37,3,0)),"")</f>
        <v/>
      </c>
      <c r="P59" s="23" t="str">
        <f>IF(B59&lt;&gt;"",IF(G59&lt;=14,G59*K59*VLOOKUP(C59,Segédlet!$C$5:$E$37,2,0),K59*14*VLOOKUP(C59,Segédlet!$C$5:$E$37,2,0)+(G59-14)*K59*VLOOKUP(C59,Segédlet!$C$5:$E$37,3,0)),"")</f>
        <v/>
      </c>
      <c r="Q59" s="29" t="str">
        <f t="shared" si="14"/>
        <v/>
      </c>
      <c r="R59" s="29" t="str">
        <f t="shared" si="15"/>
        <v/>
      </c>
      <c r="S59" s="23" t="str">
        <f>IF(B59&lt;&gt;"",IF(OR(B59=Segédlet!$J$6,B59=Segédlet!$J$7),0,IF(AND(B59=Segédlet!$J$5,E59&lt;10),IF(E59&lt;10,E59*70*K59,"700"),IF(B59 &lt;&gt; Segédlet!$J$5,0,700*K59))),"")</f>
        <v/>
      </c>
      <c r="T59" s="43" t="str">
        <f t="shared" si="16"/>
        <v/>
      </c>
    </row>
    <row r="60" spans="1:20" s="24" customFormat="1" x14ac:dyDescent="0.2">
      <c r="A60" s="26" t="str">
        <f t="shared" si="8"/>
        <v xml:space="preserve"> </v>
      </c>
      <c r="B60" s="27"/>
      <c r="C60" s="35"/>
      <c r="D60" s="42" t="str">
        <f>IF(C60&lt;&gt;"",INDEX(Segédlet!$B$5:$B$37,MATCH(C60,Segédlet!$C$5:$C$37,0)),"")</f>
        <v/>
      </c>
      <c r="E60" s="36"/>
      <c r="F60" s="25"/>
      <c r="G60" s="22" t="str">
        <f t="shared" si="9"/>
        <v/>
      </c>
      <c r="H60" s="25" t="str">
        <f t="shared" si="10"/>
        <v/>
      </c>
      <c r="I60" s="25" t="str">
        <f t="shared" si="11"/>
        <v/>
      </c>
      <c r="J60" s="25" t="str">
        <f t="shared" si="12"/>
        <v/>
      </c>
      <c r="K60" s="28"/>
      <c r="L60" s="28" t="str">
        <f t="shared" si="13"/>
        <v/>
      </c>
      <c r="M60" s="37"/>
      <c r="N60" s="23" t="str">
        <f>IF(B60&lt;&gt;"",IF(AND(I60&gt;0,R60&gt;0),(K60+J60-I60)*VLOOKUP(M60,Segédlet!$G$5:$H$12,2,0),(K60+J60)*VLOOKUP(M60,Segédlet!$G$5:$H$12,2,0)),"")</f>
        <v/>
      </c>
      <c r="O60" s="23" t="str">
        <f>IF(B60&lt;&gt;"",IF(G60&lt;=14,G60*J60*VLOOKUP(C60,Segédlet!$C$5:$E$37,2,0),J60*14*VLOOKUP(C60,Segédlet!$C$5:$E$37,2,0)+(G60-14)*J60*VLOOKUP(C60,Segédlet!$C$5:$E$37,3,0)),"")</f>
        <v/>
      </c>
      <c r="P60" s="23" t="str">
        <f>IF(B60&lt;&gt;"",IF(G60&lt;=14,G60*K60*VLOOKUP(C60,Segédlet!$C$5:$E$37,2,0),K60*14*VLOOKUP(C60,Segédlet!$C$5:$E$37,2,0)+(G60-14)*K60*VLOOKUP(C60,Segédlet!$C$5:$E$37,3,0)),"")</f>
        <v/>
      </c>
      <c r="Q60" s="29" t="str">
        <f t="shared" si="14"/>
        <v/>
      </c>
      <c r="R60" s="29" t="str">
        <f t="shared" si="15"/>
        <v/>
      </c>
      <c r="S60" s="23" t="str">
        <f>IF(B60&lt;&gt;"",IF(OR(B60=Segédlet!$J$6,B60=Segédlet!$J$7),0,IF(AND(B60=Segédlet!$J$5,E60&lt;10),IF(E60&lt;10,E60*70*K60,"700"),IF(B60 &lt;&gt; Segédlet!$J$5,0,700*K60))),"")</f>
        <v/>
      </c>
      <c r="T60" s="43" t="str">
        <f t="shared" si="16"/>
        <v/>
      </c>
    </row>
    <row r="61" spans="1:20" s="24" customFormat="1" x14ac:dyDescent="0.2">
      <c r="A61" s="26" t="str">
        <f t="shared" si="8"/>
        <v xml:space="preserve"> </v>
      </c>
      <c r="B61" s="27"/>
      <c r="C61" s="35"/>
      <c r="D61" s="42" t="str">
        <f>IF(C61&lt;&gt;"",INDEX(Segédlet!$B$5:$B$37,MATCH(C61,Segédlet!$C$5:$C$37,0)),"")</f>
        <v/>
      </c>
      <c r="E61" s="36"/>
      <c r="F61" s="25"/>
      <c r="G61" s="22" t="str">
        <f t="shared" si="9"/>
        <v/>
      </c>
      <c r="H61" s="25" t="str">
        <f t="shared" si="10"/>
        <v/>
      </c>
      <c r="I61" s="25" t="str">
        <f t="shared" si="11"/>
        <v/>
      </c>
      <c r="J61" s="25" t="str">
        <f t="shared" si="12"/>
        <v/>
      </c>
      <c r="K61" s="28"/>
      <c r="L61" s="28" t="str">
        <f t="shared" si="13"/>
        <v/>
      </c>
      <c r="M61" s="37"/>
      <c r="N61" s="23" t="str">
        <f>IF(B61&lt;&gt;"",IF(AND(I61&gt;0,R61&gt;0),(K61+J61-I61)*VLOOKUP(M61,Segédlet!$G$5:$H$12,2,0),(K61+J61)*VLOOKUP(M61,Segédlet!$G$5:$H$12,2,0)),"")</f>
        <v/>
      </c>
      <c r="O61" s="23" t="str">
        <f>IF(B61&lt;&gt;"",IF(G61&lt;=14,G61*J61*VLOOKUP(C61,Segédlet!$C$5:$E$37,2,0),J61*14*VLOOKUP(C61,Segédlet!$C$5:$E$37,2,0)+(G61-14)*J61*VLOOKUP(C61,Segédlet!$C$5:$E$37,3,0)),"")</f>
        <v/>
      </c>
      <c r="P61" s="23" t="str">
        <f>IF(B61&lt;&gt;"",IF(G61&lt;=14,G61*K61*VLOOKUP(C61,Segédlet!$C$5:$E$37,2,0),K61*14*VLOOKUP(C61,Segédlet!$C$5:$E$37,2,0)+(G61-14)*K61*VLOOKUP(C61,Segédlet!$C$5:$E$37,3,0)),"")</f>
        <v/>
      </c>
      <c r="Q61" s="29" t="str">
        <f t="shared" si="14"/>
        <v/>
      </c>
      <c r="R61" s="29" t="str">
        <f t="shared" si="15"/>
        <v/>
      </c>
      <c r="S61" s="23" t="str">
        <f>IF(B61&lt;&gt;"",IF(OR(B61=Segédlet!$J$6,B61=Segédlet!$J$7),0,IF(AND(B61=Segédlet!$J$5,E61&lt;10),IF(E61&lt;10,E61*70*K61,"700"),IF(B61 &lt;&gt; Segédlet!$J$5,0,700*K61))),"")</f>
        <v/>
      </c>
      <c r="T61" s="43" t="str">
        <f t="shared" si="16"/>
        <v/>
      </c>
    </row>
    <row r="62" spans="1:20" s="24" customFormat="1" x14ac:dyDescent="0.2">
      <c r="A62" s="26" t="str">
        <f t="shared" si="8"/>
        <v xml:space="preserve"> </v>
      </c>
      <c r="B62" s="27"/>
      <c r="C62" s="35"/>
      <c r="D62" s="42" t="str">
        <f>IF(C62&lt;&gt;"",INDEX(Segédlet!$B$5:$B$37,MATCH(C62,Segédlet!$C$5:$C$37,0)),"")</f>
        <v/>
      </c>
      <c r="E62" s="36"/>
      <c r="F62" s="25"/>
      <c r="G62" s="22" t="str">
        <f t="shared" si="9"/>
        <v/>
      </c>
      <c r="H62" s="25" t="str">
        <f t="shared" si="10"/>
        <v/>
      </c>
      <c r="I62" s="25" t="str">
        <f t="shared" si="11"/>
        <v/>
      </c>
      <c r="J62" s="25" t="str">
        <f t="shared" si="12"/>
        <v/>
      </c>
      <c r="K62" s="28"/>
      <c r="L62" s="28" t="str">
        <f t="shared" si="13"/>
        <v/>
      </c>
      <c r="M62" s="37"/>
      <c r="N62" s="23" t="str">
        <f>IF(B62&lt;&gt;"",IF(AND(I62&gt;0,R62&gt;0),(K62+J62-I62)*VLOOKUP(M62,Segédlet!$G$5:$H$12,2,0),(K62+J62)*VLOOKUP(M62,Segédlet!$G$5:$H$12,2,0)),"")</f>
        <v/>
      </c>
      <c r="O62" s="23" t="str">
        <f>IF(B62&lt;&gt;"",IF(G62&lt;=14,G62*J62*VLOOKUP(C62,Segédlet!$C$5:$E$37,2,0),J62*14*VLOOKUP(C62,Segédlet!$C$5:$E$37,2,0)+(G62-14)*J62*VLOOKUP(C62,Segédlet!$C$5:$E$37,3,0)),"")</f>
        <v/>
      </c>
      <c r="P62" s="23" t="str">
        <f>IF(B62&lt;&gt;"",IF(G62&lt;=14,G62*K62*VLOOKUP(C62,Segédlet!$C$5:$E$37,2,0),K62*14*VLOOKUP(C62,Segédlet!$C$5:$E$37,2,0)+(G62-14)*K62*VLOOKUP(C62,Segédlet!$C$5:$E$37,3,0)),"")</f>
        <v/>
      </c>
      <c r="Q62" s="29" t="str">
        <f t="shared" si="14"/>
        <v/>
      </c>
      <c r="R62" s="29" t="str">
        <f t="shared" si="15"/>
        <v/>
      </c>
      <c r="S62" s="23" t="str">
        <f>IF(B62&lt;&gt;"",IF(OR(B62=Segédlet!$J$6,B62=Segédlet!$J$7),0,IF(AND(B62=Segédlet!$J$5,E62&lt;10),IF(E62&lt;10,E62*70*K62,"700"),IF(B62 &lt;&gt; Segédlet!$J$5,0,700*K62))),"")</f>
        <v/>
      </c>
      <c r="T62" s="43" t="str">
        <f t="shared" si="16"/>
        <v/>
      </c>
    </row>
    <row r="63" spans="1:20" s="24" customFormat="1" x14ac:dyDescent="0.2">
      <c r="A63" s="26" t="str">
        <f t="shared" si="8"/>
        <v xml:space="preserve"> </v>
      </c>
      <c r="B63" s="27"/>
      <c r="C63" s="35"/>
      <c r="D63" s="42" t="str">
        <f>IF(C63&lt;&gt;"",INDEX(Segédlet!$B$5:$B$37,MATCH(C63,Segédlet!$C$5:$C$37,0)),"")</f>
        <v/>
      </c>
      <c r="E63" s="36"/>
      <c r="F63" s="25"/>
      <c r="G63" s="22" t="str">
        <f t="shared" si="9"/>
        <v/>
      </c>
      <c r="H63" s="25" t="str">
        <f t="shared" si="10"/>
        <v/>
      </c>
      <c r="I63" s="25" t="str">
        <f t="shared" si="11"/>
        <v/>
      </c>
      <c r="J63" s="25" t="str">
        <f t="shared" si="12"/>
        <v/>
      </c>
      <c r="K63" s="28"/>
      <c r="L63" s="28" t="str">
        <f t="shared" si="13"/>
        <v/>
      </c>
      <c r="M63" s="37"/>
      <c r="N63" s="23" t="str">
        <f>IF(B63&lt;&gt;"",IF(AND(I63&gt;0,R63&gt;0),(K63+J63-I63)*VLOOKUP(M63,Segédlet!$G$5:$H$12,2,0),(K63+J63)*VLOOKUP(M63,Segédlet!$G$5:$H$12,2,0)),"")</f>
        <v/>
      </c>
      <c r="O63" s="23" t="str">
        <f>IF(B63&lt;&gt;"",IF(G63&lt;=14,G63*J63*VLOOKUP(C63,Segédlet!$C$5:$E$37,2,0),J63*14*VLOOKUP(C63,Segédlet!$C$5:$E$37,2,0)+(G63-14)*J63*VLOOKUP(C63,Segédlet!$C$5:$E$37,3,0)),"")</f>
        <v/>
      </c>
      <c r="P63" s="23" t="str">
        <f>IF(B63&lt;&gt;"",IF(G63&lt;=14,G63*K63*VLOOKUP(C63,Segédlet!$C$5:$E$37,2,0),K63*14*VLOOKUP(C63,Segédlet!$C$5:$E$37,2,0)+(G63-14)*K63*VLOOKUP(C63,Segédlet!$C$5:$E$37,3,0)),"")</f>
        <v/>
      </c>
      <c r="Q63" s="29" t="str">
        <f t="shared" si="14"/>
        <v/>
      </c>
      <c r="R63" s="29" t="str">
        <f t="shared" si="15"/>
        <v/>
      </c>
      <c r="S63" s="23" t="str">
        <f>IF(B63&lt;&gt;"",IF(OR(B63=Segédlet!$J$6,B63=Segédlet!$J$7),0,IF(AND(B63=Segédlet!$J$5,E63&lt;10),IF(E63&lt;10,E63*70*K63,"700"),IF(B63 &lt;&gt; Segédlet!$J$5,0,700*K63))),"")</f>
        <v/>
      </c>
      <c r="T63" s="43" t="str">
        <f t="shared" si="16"/>
        <v/>
      </c>
    </row>
    <row r="64" spans="1:20" s="24" customFormat="1" x14ac:dyDescent="0.2">
      <c r="A64" s="26" t="str">
        <f t="shared" si="8"/>
        <v xml:space="preserve"> </v>
      </c>
      <c r="B64" s="27"/>
      <c r="C64" s="35"/>
      <c r="D64" s="42" t="str">
        <f>IF(C64&lt;&gt;"",INDEX(Segédlet!$B$5:$B$37,MATCH(C64,Segédlet!$C$5:$C$37,0)),"")</f>
        <v/>
      </c>
      <c r="E64" s="36"/>
      <c r="F64" s="25"/>
      <c r="G64" s="22" t="str">
        <f t="shared" si="9"/>
        <v/>
      </c>
      <c r="H64" s="25" t="str">
        <f t="shared" si="10"/>
        <v/>
      </c>
      <c r="I64" s="25" t="str">
        <f t="shared" si="11"/>
        <v/>
      </c>
      <c r="J64" s="25" t="str">
        <f t="shared" si="12"/>
        <v/>
      </c>
      <c r="K64" s="28"/>
      <c r="L64" s="28" t="str">
        <f t="shared" si="13"/>
        <v/>
      </c>
      <c r="M64" s="37"/>
      <c r="N64" s="23" t="str">
        <f>IF(B64&lt;&gt;"",IF(AND(I64&gt;0,R64&gt;0),(K64+J64-I64)*VLOOKUP(M64,Segédlet!$G$5:$H$12,2,0),(K64+J64)*VLOOKUP(M64,Segédlet!$G$5:$H$12,2,0)),"")</f>
        <v/>
      </c>
      <c r="O64" s="23" t="str">
        <f>IF(B64&lt;&gt;"",IF(G64&lt;=14,G64*J64*VLOOKUP(C64,Segédlet!$C$5:$E$37,2,0),J64*14*VLOOKUP(C64,Segédlet!$C$5:$E$37,2,0)+(G64-14)*J64*VLOOKUP(C64,Segédlet!$C$5:$E$37,3,0)),"")</f>
        <v/>
      </c>
      <c r="P64" s="23" t="str">
        <f>IF(B64&lt;&gt;"",IF(G64&lt;=14,G64*K64*VLOOKUP(C64,Segédlet!$C$5:$E$37,2,0),K64*14*VLOOKUP(C64,Segédlet!$C$5:$E$37,2,0)+(G64-14)*K64*VLOOKUP(C64,Segédlet!$C$5:$E$37,3,0)),"")</f>
        <v/>
      </c>
      <c r="Q64" s="29" t="str">
        <f t="shared" si="14"/>
        <v/>
      </c>
      <c r="R64" s="29" t="str">
        <f t="shared" si="15"/>
        <v/>
      </c>
      <c r="S64" s="23" t="str">
        <f>IF(B64&lt;&gt;"",IF(OR(B64=Segédlet!$J$6,B64=Segédlet!$J$7),0,IF(AND(B64=Segédlet!$J$5,E64&lt;10),IF(E64&lt;10,E64*70*K64,"700"),IF(B64 &lt;&gt; Segédlet!$J$5,0,700*K64))),"")</f>
        <v/>
      </c>
      <c r="T64" s="43" t="str">
        <f t="shared" si="16"/>
        <v/>
      </c>
    </row>
    <row r="65" spans="1:20" s="24" customFormat="1" x14ac:dyDescent="0.2">
      <c r="A65" s="26" t="str">
        <f t="shared" si="8"/>
        <v xml:space="preserve"> </v>
      </c>
      <c r="B65" s="27"/>
      <c r="C65" s="35"/>
      <c r="D65" s="42" t="str">
        <f>IF(C65&lt;&gt;"",INDEX(Segédlet!$B$5:$B$37,MATCH(C65,Segédlet!$C$5:$C$37,0)),"")</f>
        <v/>
      </c>
      <c r="E65" s="36"/>
      <c r="F65" s="25"/>
      <c r="G65" s="22" t="str">
        <f t="shared" si="9"/>
        <v/>
      </c>
      <c r="H65" s="25" t="str">
        <f t="shared" si="10"/>
        <v/>
      </c>
      <c r="I65" s="25" t="str">
        <f t="shared" si="11"/>
        <v/>
      </c>
      <c r="J65" s="25" t="str">
        <f t="shared" si="12"/>
        <v/>
      </c>
      <c r="K65" s="28"/>
      <c r="L65" s="28" t="str">
        <f t="shared" si="13"/>
        <v/>
      </c>
      <c r="M65" s="37"/>
      <c r="N65" s="23" t="str">
        <f>IF(B65&lt;&gt;"",IF(AND(I65&gt;0,R65&gt;0),(K65+J65-I65)*VLOOKUP(M65,Segédlet!$G$5:$H$12,2,0),(K65+J65)*VLOOKUP(M65,Segédlet!$G$5:$H$12,2,0)),"")</f>
        <v/>
      </c>
      <c r="O65" s="23" t="str">
        <f>IF(B65&lt;&gt;"",IF(G65&lt;=14,G65*J65*VLOOKUP(C65,Segédlet!$C$5:$E$37,2,0),J65*14*VLOOKUP(C65,Segédlet!$C$5:$E$37,2,0)+(G65-14)*J65*VLOOKUP(C65,Segédlet!$C$5:$E$37,3,0)),"")</f>
        <v/>
      </c>
      <c r="P65" s="23" t="str">
        <f>IF(B65&lt;&gt;"",IF(G65&lt;=14,G65*K65*VLOOKUP(C65,Segédlet!$C$5:$E$37,2,0),K65*14*VLOOKUP(C65,Segédlet!$C$5:$E$37,2,0)+(G65-14)*K65*VLOOKUP(C65,Segédlet!$C$5:$E$37,3,0)),"")</f>
        <v/>
      </c>
      <c r="Q65" s="29" t="str">
        <f t="shared" si="14"/>
        <v/>
      </c>
      <c r="R65" s="29" t="str">
        <f t="shared" si="15"/>
        <v/>
      </c>
      <c r="S65" s="23" t="str">
        <f>IF(B65&lt;&gt;"",IF(OR(B65=Segédlet!$J$6,B65=Segédlet!$J$7),0,IF(AND(B65=Segédlet!$J$5,E65&lt;10),IF(E65&lt;10,E65*70*K65,"700"),IF(B65 &lt;&gt; Segédlet!$J$5,0,700*K65))),"")</f>
        <v/>
      </c>
      <c r="T65" s="43" t="str">
        <f t="shared" si="16"/>
        <v/>
      </c>
    </row>
    <row r="66" spans="1:20" s="24" customFormat="1" x14ac:dyDescent="0.2">
      <c r="A66" s="26" t="str">
        <f t="shared" si="8"/>
        <v xml:space="preserve"> </v>
      </c>
      <c r="B66" s="27"/>
      <c r="C66" s="35"/>
      <c r="D66" s="42" t="str">
        <f>IF(C66&lt;&gt;"",INDEX(Segédlet!$B$5:$B$37,MATCH(C66,Segédlet!$C$5:$C$37,0)),"")</f>
        <v/>
      </c>
      <c r="E66" s="36"/>
      <c r="F66" s="25"/>
      <c r="G66" s="22" t="str">
        <f t="shared" si="9"/>
        <v/>
      </c>
      <c r="H66" s="25" t="str">
        <f t="shared" si="10"/>
        <v/>
      </c>
      <c r="I66" s="25" t="str">
        <f t="shared" si="11"/>
        <v/>
      </c>
      <c r="J66" s="25" t="str">
        <f t="shared" si="12"/>
        <v/>
      </c>
      <c r="K66" s="28"/>
      <c r="L66" s="28" t="str">
        <f t="shared" si="13"/>
        <v/>
      </c>
      <c r="M66" s="37"/>
      <c r="N66" s="23" t="str">
        <f>IF(B66&lt;&gt;"",IF(AND(I66&gt;0,R66&gt;0),(K66+J66-I66)*VLOOKUP(M66,Segédlet!$G$5:$H$12,2,0),(K66+J66)*VLOOKUP(M66,Segédlet!$G$5:$H$12,2,0)),"")</f>
        <v/>
      </c>
      <c r="O66" s="23" t="str">
        <f>IF(B66&lt;&gt;"",IF(G66&lt;=14,G66*J66*VLOOKUP(C66,Segédlet!$C$5:$E$37,2,0),J66*14*VLOOKUP(C66,Segédlet!$C$5:$E$37,2,0)+(G66-14)*J66*VLOOKUP(C66,Segédlet!$C$5:$E$37,3,0)),"")</f>
        <v/>
      </c>
      <c r="P66" s="23" t="str">
        <f>IF(B66&lt;&gt;"",IF(G66&lt;=14,G66*K66*VLOOKUP(C66,Segédlet!$C$5:$E$37,2,0),K66*14*VLOOKUP(C66,Segédlet!$C$5:$E$37,2,0)+(G66-14)*K66*VLOOKUP(C66,Segédlet!$C$5:$E$37,3,0)),"")</f>
        <v/>
      </c>
      <c r="Q66" s="29" t="str">
        <f t="shared" si="14"/>
        <v/>
      </c>
      <c r="R66" s="29" t="str">
        <f t="shared" si="15"/>
        <v/>
      </c>
      <c r="S66" s="23" t="str">
        <f>IF(B66&lt;&gt;"",IF(OR(B66=Segédlet!$J$6,B66=Segédlet!$J$7),0,IF(AND(B66=Segédlet!$J$5,E66&lt;10),IF(E66&lt;10,E66*70*K66,"700"),IF(B66 &lt;&gt; Segédlet!$J$5,0,700*K66))),"")</f>
        <v/>
      </c>
      <c r="T66" s="43" t="str">
        <f t="shared" si="16"/>
        <v/>
      </c>
    </row>
    <row r="67" spans="1:20" s="24" customFormat="1" x14ac:dyDescent="0.2">
      <c r="A67" s="26" t="str">
        <f t="shared" si="8"/>
        <v xml:space="preserve"> </v>
      </c>
      <c r="B67" s="27"/>
      <c r="C67" s="35"/>
      <c r="D67" s="42" t="str">
        <f>IF(C67&lt;&gt;"",INDEX(Segédlet!$B$5:$B$37,MATCH(C67,Segédlet!$C$5:$C$37,0)),"")</f>
        <v/>
      </c>
      <c r="E67" s="36"/>
      <c r="F67" s="25"/>
      <c r="G67" s="22" t="str">
        <f t="shared" si="9"/>
        <v/>
      </c>
      <c r="H67" s="25" t="str">
        <f t="shared" si="10"/>
        <v/>
      </c>
      <c r="I67" s="25" t="str">
        <f t="shared" si="11"/>
        <v/>
      </c>
      <c r="J67" s="25" t="str">
        <f t="shared" si="12"/>
        <v/>
      </c>
      <c r="K67" s="28"/>
      <c r="L67" s="28" t="str">
        <f t="shared" si="13"/>
        <v/>
      </c>
      <c r="M67" s="37"/>
      <c r="N67" s="23" t="str">
        <f>IF(B67&lt;&gt;"",IF(AND(I67&gt;0,R67&gt;0),(K67+J67-I67)*VLOOKUP(M67,Segédlet!$G$5:$H$12,2,0),(K67+J67)*VLOOKUP(M67,Segédlet!$G$5:$H$12,2,0)),"")</f>
        <v/>
      </c>
      <c r="O67" s="23" t="str">
        <f>IF(B67&lt;&gt;"",IF(G67&lt;=14,G67*J67*VLOOKUP(C67,Segédlet!$C$5:$E$37,2,0),J67*14*VLOOKUP(C67,Segédlet!$C$5:$E$37,2,0)+(G67-14)*J67*VLOOKUP(C67,Segédlet!$C$5:$E$37,3,0)),"")</f>
        <v/>
      </c>
      <c r="P67" s="23" t="str">
        <f>IF(B67&lt;&gt;"",IF(G67&lt;=14,G67*K67*VLOOKUP(C67,Segédlet!$C$5:$E$37,2,0),K67*14*VLOOKUP(C67,Segédlet!$C$5:$E$37,2,0)+(G67-14)*K67*VLOOKUP(C67,Segédlet!$C$5:$E$37,3,0)),"")</f>
        <v/>
      </c>
      <c r="Q67" s="29" t="str">
        <f t="shared" si="14"/>
        <v/>
      </c>
      <c r="R67" s="29" t="str">
        <f t="shared" si="15"/>
        <v/>
      </c>
      <c r="S67" s="23" t="str">
        <f>IF(B67&lt;&gt;"",IF(OR(B67=Segédlet!$J$6,B67=Segédlet!$J$7),0,IF(AND(B67=Segédlet!$J$5,E67&lt;10),IF(E67&lt;10,E67*70*K67,"700"),IF(B67 &lt;&gt; Segédlet!$J$5,0,700*K67))),"")</f>
        <v/>
      </c>
      <c r="T67" s="43" t="str">
        <f t="shared" si="16"/>
        <v/>
      </c>
    </row>
    <row r="68" spans="1:20" s="24" customFormat="1" x14ac:dyDescent="0.2">
      <c r="A68" s="26" t="str">
        <f t="shared" si="8"/>
        <v xml:space="preserve"> </v>
      </c>
      <c r="B68" s="27"/>
      <c r="C68" s="35"/>
      <c r="D68" s="42" t="str">
        <f>IF(C68&lt;&gt;"",INDEX(Segédlet!$B$5:$B$37,MATCH(C68,Segédlet!$C$5:$C$37,0)),"")</f>
        <v/>
      </c>
      <c r="E68" s="36"/>
      <c r="F68" s="25"/>
      <c r="G68" s="22" t="str">
        <f t="shared" si="9"/>
        <v/>
      </c>
      <c r="H68" s="25" t="str">
        <f t="shared" si="10"/>
        <v/>
      </c>
      <c r="I68" s="25" t="str">
        <f t="shared" si="11"/>
        <v/>
      </c>
      <c r="J68" s="25" t="str">
        <f t="shared" si="12"/>
        <v/>
      </c>
      <c r="K68" s="28"/>
      <c r="L68" s="28" t="str">
        <f t="shared" si="13"/>
        <v/>
      </c>
      <c r="M68" s="37"/>
      <c r="N68" s="23" t="str">
        <f>IF(B68&lt;&gt;"",IF(AND(I68&gt;0,R68&gt;0),(K68+J68-I68)*VLOOKUP(M68,Segédlet!$G$5:$H$12,2,0),(K68+J68)*VLOOKUP(M68,Segédlet!$G$5:$H$12,2,0)),"")</f>
        <v/>
      </c>
      <c r="O68" s="23" t="str">
        <f>IF(B68&lt;&gt;"",IF(G68&lt;=14,G68*J68*VLOOKUP(C68,Segédlet!$C$5:$E$37,2,0),J68*14*VLOOKUP(C68,Segédlet!$C$5:$E$37,2,0)+(G68-14)*J68*VLOOKUP(C68,Segédlet!$C$5:$E$37,3,0)),"")</f>
        <v/>
      </c>
      <c r="P68" s="23" t="str">
        <f>IF(B68&lt;&gt;"",IF(G68&lt;=14,G68*K68*VLOOKUP(C68,Segédlet!$C$5:$E$37,2,0),K68*14*VLOOKUP(C68,Segédlet!$C$5:$E$37,2,0)+(G68-14)*K68*VLOOKUP(C68,Segédlet!$C$5:$E$37,3,0)),"")</f>
        <v/>
      </c>
      <c r="Q68" s="29" t="str">
        <f t="shared" si="14"/>
        <v/>
      </c>
      <c r="R68" s="29" t="str">
        <f t="shared" si="15"/>
        <v/>
      </c>
      <c r="S68" s="23" t="str">
        <f>IF(B68&lt;&gt;"",IF(OR(B68=Segédlet!$J$6,B68=Segédlet!$J$7),0,IF(AND(B68=Segédlet!$J$5,E68&lt;10),IF(E68&lt;10,E68*70*K68,"700"),IF(B68 &lt;&gt; Segédlet!$J$5,0,700*K68))),"")</f>
        <v/>
      </c>
      <c r="T68" s="43" t="str">
        <f t="shared" si="16"/>
        <v/>
      </c>
    </row>
    <row r="69" spans="1:20" s="24" customFormat="1" x14ac:dyDescent="0.2">
      <c r="A69" s="26" t="str">
        <f t="shared" si="8"/>
        <v xml:space="preserve"> </v>
      </c>
      <c r="B69" s="27"/>
      <c r="C69" s="35"/>
      <c r="D69" s="42" t="str">
        <f>IF(C69&lt;&gt;"",INDEX(Segédlet!$B$5:$B$37,MATCH(C69,Segédlet!$C$5:$C$37,0)),"")</f>
        <v/>
      </c>
      <c r="E69" s="36"/>
      <c r="F69" s="25"/>
      <c r="G69" s="22" t="str">
        <f t="shared" si="9"/>
        <v/>
      </c>
      <c r="H69" s="25" t="str">
        <f t="shared" si="10"/>
        <v/>
      </c>
      <c r="I69" s="25" t="str">
        <f t="shared" si="11"/>
        <v/>
      </c>
      <c r="J69" s="25" t="str">
        <f t="shared" si="12"/>
        <v/>
      </c>
      <c r="K69" s="28"/>
      <c r="L69" s="28" t="str">
        <f t="shared" si="13"/>
        <v/>
      </c>
      <c r="M69" s="37"/>
      <c r="N69" s="23" t="str">
        <f>IF(B69&lt;&gt;"",IF(AND(I69&gt;0,R69&gt;0),(K69+J69-I69)*VLOOKUP(M69,Segédlet!$G$5:$H$12,2,0),(K69+J69)*VLOOKUP(M69,Segédlet!$G$5:$H$12,2,0)),"")</f>
        <v/>
      </c>
      <c r="O69" s="23" t="str">
        <f>IF(B69&lt;&gt;"",IF(G69&lt;=14,G69*J69*VLOOKUP(C69,Segédlet!$C$5:$E$37,2,0),J69*14*VLOOKUP(C69,Segédlet!$C$5:$E$37,2,0)+(G69-14)*J69*VLOOKUP(C69,Segédlet!$C$5:$E$37,3,0)),"")</f>
        <v/>
      </c>
      <c r="P69" s="23" t="str">
        <f>IF(B69&lt;&gt;"",IF(G69&lt;=14,G69*K69*VLOOKUP(C69,Segédlet!$C$5:$E$37,2,0),K69*14*VLOOKUP(C69,Segédlet!$C$5:$E$37,2,0)+(G69-14)*K69*VLOOKUP(C69,Segédlet!$C$5:$E$37,3,0)),"")</f>
        <v/>
      </c>
      <c r="Q69" s="29" t="str">
        <f t="shared" si="14"/>
        <v/>
      </c>
      <c r="R69" s="29" t="str">
        <f t="shared" si="15"/>
        <v/>
      </c>
      <c r="S69" s="23" t="str">
        <f>IF(B69&lt;&gt;"",IF(OR(B69=Segédlet!$J$6,B69=Segédlet!$J$7),0,IF(AND(B69=Segédlet!$J$5,E69&lt;10),IF(E69&lt;10,E69*70*K69,"700"),IF(B69 &lt;&gt; Segédlet!$J$5,0,700*K69))),"")</f>
        <v/>
      </c>
      <c r="T69" s="43" t="str">
        <f t="shared" si="16"/>
        <v/>
      </c>
    </row>
    <row r="70" spans="1:20" s="24" customFormat="1" x14ac:dyDescent="0.2">
      <c r="A70" s="26" t="str">
        <f t="shared" si="8"/>
        <v xml:space="preserve"> </v>
      </c>
      <c r="B70" s="27"/>
      <c r="C70" s="35"/>
      <c r="D70" s="42" t="str">
        <f>IF(C70&lt;&gt;"",INDEX(Segédlet!$B$5:$B$37,MATCH(C70,Segédlet!$C$5:$C$37,0)),"")</f>
        <v/>
      </c>
      <c r="E70" s="36"/>
      <c r="F70" s="25"/>
      <c r="G70" s="22" t="str">
        <f t="shared" si="9"/>
        <v/>
      </c>
      <c r="H70" s="25" t="str">
        <f t="shared" si="10"/>
        <v/>
      </c>
      <c r="I70" s="25" t="str">
        <f t="shared" si="11"/>
        <v/>
      </c>
      <c r="J70" s="25" t="str">
        <f t="shared" si="12"/>
        <v/>
      </c>
      <c r="K70" s="28"/>
      <c r="L70" s="28" t="str">
        <f t="shared" si="13"/>
        <v/>
      </c>
      <c r="M70" s="37"/>
      <c r="N70" s="23" t="str">
        <f>IF(B70&lt;&gt;"",IF(AND(I70&gt;0,R70&gt;0),(K70+J70-I70)*VLOOKUP(M70,Segédlet!$G$5:$H$12,2,0),(K70+J70)*VLOOKUP(M70,Segédlet!$G$5:$H$12,2,0)),"")</f>
        <v/>
      </c>
      <c r="O70" s="23" t="str">
        <f>IF(B70&lt;&gt;"",IF(G70&lt;=14,G70*J70*VLOOKUP(C70,Segédlet!$C$5:$E$37,2,0),J70*14*VLOOKUP(C70,Segédlet!$C$5:$E$37,2,0)+(G70-14)*J70*VLOOKUP(C70,Segédlet!$C$5:$E$37,3,0)),"")</f>
        <v/>
      </c>
      <c r="P70" s="23" t="str">
        <f>IF(B70&lt;&gt;"",IF(G70&lt;=14,G70*K70*VLOOKUP(C70,Segédlet!$C$5:$E$37,2,0),K70*14*VLOOKUP(C70,Segédlet!$C$5:$E$37,2,0)+(G70-14)*K70*VLOOKUP(C70,Segédlet!$C$5:$E$37,3,0)),"")</f>
        <v/>
      </c>
      <c r="Q70" s="29" t="str">
        <f t="shared" si="14"/>
        <v/>
      </c>
      <c r="R70" s="29" t="str">
        <f t="shared" si="15"/>
        <v/>
      </c>
      <c r="S70" s="23" t="str">
        <f>IF(B70&lt;&gt;"",IF(OR(B70=Segédlet!$J$6,B70=Segédlet!$J$7),0,IF(AND(B70=Segédlet!$J$5,E70&lt;10),IF(E70&lt;10,E70*70*K70,"700"),IF(B70 &lt;&gt; Segédlet!$J$5,0,700*K70))),"")</f>
        <v/>
      </c>
      <c r="T70" s="43" t="str">
        <f t="shared" si="16"/>
        <v/>
      </c>
    </row>
    <row r="71" spans="1:20" s="24" customFormat="1" x14ac:dyDescent="0.2">
      <c r="A71" s="26" t="str">
        <f t="shared" si="8"/>
        <v xml:space="preserve"> </v>
      </c>
      <c r="B71" s="27"/>
      <c r="C71" s="35"/>
      <c r="D71" s="42" t="str">
        <f>IF(C71&lt;&gt;"",INDEX(Segédlet!$B$5:$B$37,MATCH(C71,Segédlet!$C$5:$C$37,0)),"")</f>
        <v/>
      </c>
      <c r="E71" s="36"/>
      <c r="F71" s="25"/>
      <c r="G71" s="22" t="str">
        <f t="shared" si="9"/>
        <v/>
      </c>
      <c r="H71" s="25" t="str">
        <f t="shared" si="10"/>
        <v/>
      </c>
      <c r="I71" s="25" t="str">
        <f t="shared" si="11"/>
        <v/>
      </c>
      <c r="J71" s="25" t="str">
        <f t="shared" si="12"/>
        <v/>
      </c>
      <c r="K71" s="28"/>
      <c r="L71" s="28" t="str">
        <f t="shared" si="13"/>
        <v/>
      </c>
      <c r="M71" s="37"/>
      <c r="N71" s="23" t="str">
        <f>IF(B71&lt;&gt;"",IF(AND(I71&gt;0,R71&gt;0),(K71+J71-I71)*VLOOKUP(M71,Segédlet!$G$5:$H$12,2,0),(K71+J71)*VLOOKUP(M71,Segédlet!$G$5:$H$12,2,0)),"")</f>
        <v/>
      </c>
      <c r="O71" s="23" t="str">
        <f>IF(B71&lt;&gt;"",IF(G71&lt;=14,G71*J71*VLOOKUP(C71,Segédlet!$C$5:$E$37,2,0),J71*14*VLOOKUP(C71,Segédlet!$C$5:$E$37,2,0)+(G71-14)*J71*VLOOKUP(C71,Segédlet!$C$5:$E$37,3,0)),"")</f>
        <v/>
      </c>
      <c r="P71" s="23" t="str">
        <f>IF(B71&lt;&gt;"",IF(G71&lt;=14,G71*K71*VLOOKUP(C71,Segédlet!$C$5:$E$37,2,0),K71*14*VLOOKUP(C71,Segédlet!$C$5:$E$37,2,0)+(G71-14)*K71*VLOOKUP(C71,Segédlet!$C$5:$E$37,3,0)),"")</f>
        <v/>
      </c>
      <c r="Q71" s="29" t="str">
        <f t="shared" si="14"/>
        <v/>
      </c>
      <c r="R71" s="29" t="str">
        <f t="shared" si="15"/>
        <v/>
      </c>
      <c r="S71" s="23" t="str">
        <f>IF(B71&lt;&gt;"",IF(OR(B71=Segédlet!$J$6,B71=Segédlet!$J$7),0,IF(AND(B71=Segédlet!$J$5,E71&lt;10),IF(E71&lt;10,E71*70*K71,"700"),IF(B71 &lt;&gt; Segédlet!$J$5,0,700*K71))),"")</f>
        <v/>
      </c>
      <c r="T71" s="43" t="str">
        <f t="shared" si="16"/>
        <v/>
      </c>
    </row>
    <row r="72" spans="1:20" s="24" customFormat="1" x14ac:dyDescent="0.2">
      <c r="A72" s="26" t="str">
        <f t="shared" ref="A72:A106" si="17">IF(B72&lt;&gt;"",1," ")</f>
        <v xml:space="preserve"> </v>
      </c>
      <c r="B72" s="27"/>
      <c r="C72" s="35"/>
      <c r="D72" s="42" t="str">
        <f>IF(C72&lt;&gt;"",INDEX(Segédlet!$B$5:$B$37,MATCH(C72,Segédlet!$C$5:$C$37,0)),"")</f>
        <v/>
      </c>
      <c r="E72" s="36"/>
      <c r="F72" s="25"/>
      <c r="G72" s="22" t="str">
        <f t="shared" ref="G72:G106" si="18">IF(B72&lt;&gt;"",E72+F72,"")</f>
        <v/>
      </c>
      <c r="H72" s="25" t="str">
        <f t="shared" ref="H72:H106" si="19">IF(B72&lt;&gt;"",0,"")</f>
        <v/>
      </c>
      <c r="I72" s="25" t="str">
        <f t="shared" ref="I72:I106" si="20">IF(B72&lt;&gt;"",0,"")</f>
        <v/>
      </c>
      <c r="J72" s="25" t="str">
        <f t="shared" ref="J72:J106" si="21">IF(B72&lt;&gt;"",0,"")</f>
        <v/>
      </c>
      <c r="K72" s="28"/>
      <c r="L72" s="28" t="str">
        <f t="shared" ref="L72:L106" si="22">IF(B72&lt;&gt;"",0,"")</f>
        <v/>
      </c>
      <c r="M72" s="37"/>
      <c r="N72" s="23" t="str">
        <f>IF(B72&lt;&gt;"",IF(AND(I72&gt;0,R72&gt;0),(K72+J72-I72)*VLOOKUP(M72,Segédlet!$G$5:$H$12,2,0),(K72+J72)*VLOOKUP(M72,Segédlet!$G$5:$H$12,2,0)),"")</f>
        <v/>
      </c>
      <c r="O72" s="23" t="str">
        <f>IF(B72&lt;&gt;"",IF(G72&lt;=14,G72*J72*VLOOKUP(C72,Segédlet!$C$5:$E$37,2,0),J72*14*VLOOKUP(C72,Segédlet!$C$5:$E$37,2,0)+(G72-14)*J72*VLOOKUP(C72,Segédlet!$C$5:$E$37,3,0)),"")</f>
        <v/>
      </c>
      <c r="P72" s="23" t="str">
        <f>IF(B72&lt;&gt;"",IF(G72&lt;=14,G72*K72*VLOOKUP(C72,Segédlet!$C$5:$E$37,2,0),K72*14*VLOOKUP(C72,Segédlet!$C$5:$E$37,2,0)+(G72-14)*K72*VLOOKUP(C72,Segédlet!$C$5:$E$37,3,0)),"")</f>
        <v/>
      </c>
      <c r="Q72" s="29" t="str">
        <f t="shared" ref="Q72:Q106" si="23">IF(B72&lt;&gt;"",0,"")</f>
        <v/>
      </c>
      <c r="R72" s="29" t="str">
        <f t="shared" ref="R72:R106" si="24">IF(B72&lt;&gt;"",0,"")</f>
        <v/>
      </c>
      <c r="S72" s="23" t="str">
        <f>IF(B72&lt;&gt;"",IF(OR(B72=Segédlet!$J$6,B72=Segédlet!$J$7),0,IF(AND(B72=Segédlet!$J$5,E72&lt;10),IF(E72&lt;10,E72*70*K72,"700"),IF(B72 &lt;&gt; Segédlet!$J$5,0,700*K72))),"")</f>
        <v/>
      </c>
      <c r="T72" s="43" t="str">
        <f t="shared" ref="T72:T106" si="25">IF(B72&lt;&gt;"",SUM(N72:S72),"")</f>
        <v/>
      </c>
    </row>
    <row r="73" spans="1:20" s="24" customFormat="1" x14ac:dyDescent="0.2">
      <c r="A73" s="26" t="str">
        <f t="shared" si="17"/>
        <v xml:space="preserve"> </v>
      </c>
      <c r="B73" s="27"/>
      <c r="C73" s="35"/>
      <c r="D73" s="42" t="str">
        <f>IF(C73&lt;&gt;"",INDEX(Segédlet!$B$5:$B$37,MATCH(C73,Segédlet!$C$5:$C$37,0)),"")</f>
        <v/>
      </c>
      <c r="E73" s="36"/>
      <c r="F73" s="25"/>
      <c r="G73" s="22" t="str">
        <f t="shared" si="18"/>
        <v/>
      </c>
      <c r="H73" s="25" t="str">
        <f t="shared" si="19"/>
        <v/>
      </c>
      <c r="I73" s="25" t="str">
        <f t="shared" si="20"/>
        <v/>
      </c>
      <c r="J73" s="25" t="str">
        <f t="shared" si="21"/>
        <v/>
      </c>
      <c r="K73" s="28"/>
      <c r="L73" s="28" t="str">
        <f t="shared" si="22"/>
        <v/>
      </c>
      <c r="M73" s="37"/>
      <c r="N73" s="23" t="str">
        <f>IF(B73&lt;&gt;"",IF(AND(I73&gt;0,R73&gt;0),(K73+J73-I73)*VLOOKUP(M73,Segédlet!$G$5:$H$12,2,0),(K73+J73)*VLOOKUP(M73,Segédlet!$G$5:$H$12,2,0)),"")</f>
        <v/>
      </c>
      <c r="O73" s="23" t="str">
        <f>IF(B73&lt;&gt;"",IF(G73&lt;=14,G73*J73*VLOOKUP(C73,Segédlet!$C$5:$E$37,2,0),J73*14*VLOOKUP(C73,Segédlet!$C$5:$E$37,2,0)+(G73-14)*J73*VLOOKUP(C73,Segédlet!$C$5:$E$37,3,0)),"")</f>
        <v/>
      </c>
      <c r="P73" s="23" t="str">
        <f>IF(B73&lt;&gt;"",IF(G73&lt;=14,G73*K73*VLOOKUP(C73,Segédlet!$C$5:$E$37,2,0),K73*14*VLOOKUP(C73,Segédlet!$C$5:$E$37,2,0)+(G73-14)*K73*VLOOKUP(C73,Segédlet!$C$5:$E$37,3,0)),"")</f>
        <v/>
      </c>
      <c r="Q73" s="29" t="str">
        <f t="shared" si="23"/>
        <v/>
      </c>
      <c r="R73" s="29" t="str">
        <f t="shared" si="24"/>
        <v/>
      </c>
      <c r="S73" s="23" t="str">
        <f>IF(B73&lt;&gt;"",IF(OR(B73=Segédlet!$J$6,B73=Segédlet!$J$7),0,IF(AND(B73=Segédlet!$J$5,E73&lt;10),IF(E73&lt;10,E73*70*K73,"700"),IF(B73 &lt;&gt; Segédlet!$J$5,0,700*K73))),"")</f>
        <v/>
      </c>
      <c r="T73" s="43" t="str">
        <f t="shared" si="25"/>
        <v/>
      </c>
    </row>
    <row r="74" spans="1:20" s="24" customFormat="1" x14ac:dyDescent="0.2">
      <c r="A74" s="26" t="str">
        <f t="shared" si="17"/>
        <v xml:space="preserve"> </v>
      </c>
      <c r="B74" s="27"/>
      <c r="C74" s="35"/>
      <c r="D74" s="42" t="str">
        <f>IF(C74&lt;&gt;"",INDEX(Segédlet!$B$5:$B$37,MATCH(C74,Segédlet!$C$5:$C$37,0)),"")</f>
        <v/>
      </c>
      <c r="E74" s="36"/>
      <c r="F74" s="25"/>
      <c r="G74" s="22" t="str">
        <f t="shared" si="18"/>
        <v/>
      </c>
      <c r="H74" s="25" t="str">
        <f t="shared" si="19"/>
        <v/>
      </c>
      <c r="I74" s="25" t="str">
        <f t="shared" si="20"/>
        <v/>
      </c>
      <c r="J74" s="25" t="str">
        <f t="shared" si="21"/>
        <v/>
      </c>
      <c r="K74" s="28"/>
      <c r="L74" s="28" t="str">
        <f t="shared" si="22"/>
        <v/>
      </c>
      <c r="M74" s="37"/>
      <c r="N74" s="23" t="str">
        <f>IF(B74&lt;&gt;"",IF(AND(I74&gt;0,R74&gt;0),(K74+J74-I74)*VLOOKUP(M74,Segédlet!$G$5:$H$12,2,0),(K74+J74)*VLOOKUP(M74,Segédlet!$G$5:$H$12,2,0)),"")</f>
        <v/>
      </c>
      <c r="O74" s="23" t="str">
        <f>IF(B74&lt;&gt;"",IF(G74&lt;=14,G74*J74*VLOOKUP(C74,Segédlet!$C$5:$E$37,2,0),J74*14*VLOOKUP(C74,Segédlet!$C$5:$E$37,2,0)+(G74-14)*J74*VLOOKUP(C74,Segédlet!$C$5:$E$37,3,0)),"")</f>
        <v/>
      </c>
      <c r="P74" s="23" t="str">
        <f>IF(B74&lt;&gt;"",IF(G74&lt;=14,G74*K74*VLOOKUP(C74,Segédlet!$C$5:$E$37,2,0),K74*14*VLOOKUP(C74,Segédlet!$C$5:$E$37,2,0)+(G74-14)*K74*VLOOKUP(C74,Segédlet!$C$5:$E$37,3,0)),"")</f>
        <v/>
      </c>
      <c r="Q74" s="29" t="str">
        <f t="shared" si="23"/>
        <v/>
      </c>
      <c r="R74" s="29" t="str">
        <f t="shared" si="24"/>
        <v/>
      </c>
      <c r="S74" s="23" t="str">
        <f>IF(B74&lt;&gt;"",IF(OR(B74=Segédlet!$J$6,B74=Segédlet!$J$7),0,IF(AND(B74=Segédlet!$J$5,E74&lt;10),IF(E74&lt;10,E74*70*K74,"700"),IF(B74 &lt;&gt; Segédlet!$J$5,0,700*K74))),"")</f>
        <v/>
      </c>
      <c r="T74" s="43" t="str">
        <f t="shared" si="25"/>
        <v/>
      </c>
    </row>
    <row r="75" spans="1:20" s="24" customFormat="1" x14ac:dyDescent="0.2">
      <c r="A75" s="26" t="str">
        <f t="shared" si="17"/>
        <v xml:space="preserve"> </v>
      </c>
      <c r="B75" s="27"/>
      <c r="C75" s="35"/>
      <c r="D75" s="42" t="str">
        <f>IF(C75&lt;&gt;"",INDEX(Segédlet!$B$5:$B$37,MATCH(C75,Segédlet!$C$5:$C$37,0)),"")</f>
        <v/>
      </c>
      <c r="E75" s="36"/>
      <c r="F75" s="25"/>
      <c r="G75" s="22" t="str">
        <f t="shared" si="18"/>
        <v/>
      </c>
      <c r="H75" s="25" t="str">
        <f t="shared" si="19"/>
        <v/>
      </c>
      <c r="I75" s="25" t="str">
        <f t="shared" si="20"/>
        <v/>
      </c>
      <c r="J75" s="25" t="str">
        <f t="shared" si="21"/>
        <v/>
      </c>
      <c r="K75" s="28"/>
      <c r="L75" s="28" t="str">
        <f t="shared" si="22"/>
        <v/>
      </c>
      <c r="M75" s="37"/>
      <c r="N75" s="23" t="str">
        <f>IF(B75&lt;&gt;"",IF(AND(I75&gt;0,R75&gt;0),(K75+J75-I75)*VLOOKUP(M75,Segédlet!$G$5:$H$12,2,0),(K75+J75)*VLOOKUP(M75,Segédlet!$G$5:$H$12,2,0)),"")</f>
        <v/>
      </c>
      <c r="O75" s="23" t="str">
        <f>IF(B75&lt;&gt;"",IF(G75&lt;=14,G75*J75*VLOOKUP(C75,Segédlet!$C$5:$E$37,2,0),J75*14*VLOOKUP(C75,Segédlet!$C$5:$E$37,2,0)+(G75-14)*J75*VLOOKUP(C75,Segédlet!$C$5:$E$37,3,0)),"")</f>
        <v/>
      </c>
      <c r="P75" s="23" t="str">
        <f>IF(B75&lt;&gt;"",IF(G75&lt;=14,G75*K75*VLOOKUP(C75,Segédlet!$C$5:$E$37,2,0),K75*14*VLOOKUP(C75,Segédlet!$C$5:$E$37,2,0)+(G75-14)*K75*VLOOKUP(C75,Segédlet!$C$5:$E$37,3,0)),"")</f>
        <v/>
      </c>
      <c r="Q75" s="29" t="str">
        <f t="shared" si="23"/>
        <v/>
      </c>
      <c r="R75" s="29" t="str">
        <f t="shared" si="24"/>
        <v/>
      </c>
      <c r="S75" s="23" t="str">
        <f>IF(B75&lt;&gt;"",IF(OR(B75=Segédlet!$J$6,B75=Segédlet!$J$7),0,IF(AND(B75=Segédlet!$J$5,E75&lt;10),IF(E75&lt;10,E75*70*K75,"700"),IF(B75 &lt;&gt; Segédlet!$J$5,0,700*K75))),"")</f>
        <v/>
      </c>
      <c r="T75" s="43" t="str">
        <f t="shared" si="25"/>
        <v/>
      </c>
    </row>
    <row r="76" spans="1:20" s="24" customFormat="1" x14ac:dyDescent="0.2">
      <c r="A76" s="26" t="str">
        <f t="shared" si="17"/>
        <v xml:space="preserve"> </v>
      </c>
      <c r="B76" s="27"/>
      <c r="C76" s="35"/>
      <c r="D76" s="42" t="str">
        <f>IF(C76&lt;&gt;"",INDEX(Segédlet!$B$5:$B$37,MATCH(C76,Segédlet!$C$5:$C$37,0)),"")</f>
        <v/>
      </c>
      <c r="E76" s="36"/>
      <c r="F76" s="25"/>
      <c r="G76" s="22" t="str">
        <f t="shared" si="18"/>
        <v/>
      </c>
      <c r="H76" s="25" t="str">
        <f t="shared" si="19"/>
        <v/>
      </c>
      <c r="I76" s="25" t="str">
        <f t="shared" si="20"/>
        <v/>
      </c>
      <c r="J76" s="25" t="str">
        <f t="shared" si="21"/>
        <v/>
      </c>
      <c r="K76" s="28"/>
      <c r="L76" s="28" t="str">
        <f t="shared" si="22"/>
        <v/>
      </c>
      <c r="M76" s="37"/>
      <c r="N76" s="23" t="str">
        <f>IF(B76&lt;&gt;"",IF(AND(I76&gt;0,R76&gt;0),(K76+J76-I76)*VLOOKUP(M76,Segédlet!$G$5:$H$12,2,0),(K76+J76)*VLOOKUP(M76,Segédlet!$G$5:$H$12,2,0)),"")</f>
        <v/>
      </c>
      <c r="O76" s="23" t="str">
        <f>IF(B76&lt;&gt;"",IF(G76&lt;=14,G76*J76*VLOOKUP(C76,Segédlet!$C$5:$E$37,2,0),J76*14*VLOOKUP(C76,Segédlet!$C$5:$E$37,2,0)+(G76-14)*J76*VLOOKUP(C76,Segédlet!$C$5:$E$37,3,0)),"")</f>
        <v/>
      </c>
      <c r="P76" s="23" t="str">
        <f>IF(B76&lt;&gt;"",IF(G76&lt;=14,G76*K76*VLOOKUP(C76,Segédlet!$C$5:$E$37,2,0),K76*14*VLOOKUP(C76,Segédlet!$C$5:$E$37,2,0)+(G76-14)*K76*VLOOKUP(C76,Segédlet!$C$5:$E$37,3,0)),"")</f>
        <v/>
      </c>
      <c r="Q76" s="29" t="str">
        <f t="shared" si="23"/>
        <v/>
      </c>
      <c r="R76" s="29" t="str">
        <f t="shared" si="24"/>
        <v/>
      </c>
      <c r="S76" s="23" t="str">
        <f>IF(B76&lt;&gt;"",IF(OR(B76=Segédlet!$J$6,B76=Segédlet!$J$7),0,IF(AND(B76=Segédlet!$J$5,E76&lt;10),IF(E76&lt;10,E76*70*K76,"700"),IF(B76 &lt;&gt; Segédlet!$J$5,0,700*K76))),"")</f>
        <v/>
      </c>
      <c r="T76" s="43" t="str">
        <f t="shared" si="25"/>
        <v/>
      </c>
    </row>
    <row r="77" spans="1:20" s="24" customFormat="1" x14ac:dyDescent="0.2">
      <c r="A77" s="26" t="str">
        <f t="shared" si="17"/>
        <v xml:space="preserve"> </v>
      </c>
      <c r="B77" s="27"/>
      <c r="C77" s="35"/>
      <c r="D77" s="42" t="str">
        <f>IF(C77&lt;&gt;"",INDEX(Segédlet!$B$5:$B$37,MATCH(C77,Segédlet!$C$5:$C$37,0)),"")</f>
        <v/>
      </c>
      <c r="E77" s="36"/>
      <c r="F77" s="25"/>
      <c r="G77" s="22" t="str">
        <f t="shared" si="18"/>
        <v/>
      </c>
      <c r="H77" s="25" t="str">
        <f t="shared" si="19"/>
        <v/>
      </c>
      <c r="I77" s="25" t="str">
        <f t="shared" si="20"/>
        <v/>
      </c>
      <c r="J77" s="25" t="str">
        <f t="shared" si="21"/>
        <v/>
      </c>
      <c r="K77" s="28"/>
      <c r="L77" s="28" t="str">
        <f t="shared" si="22"/>
        <v/>
      </c>
      <c r="M77" s="37"/>
      <c r="N77" s="23" t="str">
        <f>IF(B77&lt;&gt;"",IF(AND(I77&gt;0,R77&gt;0),(K77+J77-I77)*VLOOKUP(M77,Segédlet!$G$5:$H$12,2,0),(K77+J77)*VLOOKUP(M77,Segédlet!$G$5:$H$12,2,0)),"")</f>
        <v/>
      </c>
      <c r="O77" s="23" t="str">
        <f>IF(B77&lt;&gt;"",IF(G77&lt;=14,G77*J77*VLOOKUP(C77,Segédlet!$C$5:$E$37,2,0),J77*14*VLOOKUP(C77,Segédlet!$C$5:$E$37,2,0)+(G77-14)*J77*VLOOKUP(C77,Segédlet!$C$5:$E$37,3,0)),"")</f>
        <v/>
      </c>
      <c r="P77" s="23" t="str">
        <f>IF(B77&lt;&gt;"",IF(G77&lt;=14,G77*K77*VLOOKUP(C77,Segédlet!$C$5:$E$37,2,0),K77*14*VLOOKUP(C77,Segédlet!$C$5:$E$37,2,0)+(G77-14)*K77*VLOOKUP(C77,Segédlet!$C$5:$E$37,3,0)),"")</f>
        <v/>
      </c>
      <c r="Q77" s="29" t="str">
        <f t="shared" si="23"/>
        <v/>
      </c>
      <c r="R77" s="29" t="str">
        <f t="shared" si="24"/>
        <v/>
      </c>
      <c r="S77" s="23" t="str">
        <f>IF(B77&lt;&gt;"",IF(OR(B77=Segédlet!$J$6,B77=Segédlet!$J$7),0,IF(AND(B77=Segédlet!$J$5,E77&lt;10),IF(E77&lt;10,E77*70*K77,"700"),IF(B77 &lt;&gt; Segédlet!$J$5,0,700*K77))),"")</f>
        <v/>
      </c>
      <c r="T77" s="43" t="str">
        <f t="shared" si="25"/>
        <v/>
      </c>
    </row>
    <row r="78" spans="1:20" s="24" customFormat="1" x14ac:dyDescent="0.2">
      <c r="A78" s="26" t="str">
        <f t="shared" si="17"/>
        <v xml:space="preserve"> </v>
      </c>
      <c r="B78" s="27"/>
      <c r="C78" s="35"/>
      <c r="D78" s="42" t="str">
        <f>IF(C78&lt;&gt;"",INDEX(Segédlet!$B$5:$B$37,MATCH(C78,Segédlet!$C$5:$C$37,0)),"")</f>
        <v/>
      </c>
      <c r="E78" s="36"/>
      <c r="F78" s="25"/>
      <c r="G78" s="22" t="str">
        <f t="shared" si="18"/>
        <v/>
      </c>
      <c r="H78" s="25" t="str">
        <f t="shared" si="19"/>
        <v/>
      </c>
      <c r="I78" s="25" t="str">
        <f t="shared" si="20"/>
        <v/>
      </c>
      <c r="J78" s="25" t="str">
        <f t="shared" si="21"/>
        <v/>
      </c>
      <c r="K78" s="28"/>
      <c r="L78" s="28" t="str">
        <f t="shared" si="22"/>
        <v/>
      </c>
      <c r="M78" s="37"/>
      <c r="N78" s="23" t="str">
        <f>IF(B78&lt;&gt;"",IF(AND(I78&gt;0,R78&gt;0),(K78+J78-I78)*VLOOKUP(M78,Segédlet!$G$5:$H$12,2,0),(K78+J78)*VLOOKUP(M78,Segédlet!$G$5:$H$12,2,0)),"")</f>
        <v/>
      </c>
      <c r="O78" s="23" t="str">
        <f>IF(B78&lt;&gt;"",IF(G78&lt;=14,G78*J78*VLOOKUP(C78,Segédlet!$C$5:$E$37,2,0),J78*14*VLOOKUP(C78,Segédlet!$C$5:$E$37,2,0)+(G78-14)*J78*VLOOKUP(C78,Segédlet!$C$5:$E$37,3,0)),"")</f>
        <v/>
      </c>
      <c r="P78" s="23" t="str">
        <f>IF(B78&lt;&gt;"",IF(G78&lt;=14,G78*K78*VLOOKUP(C78,Segédlet!$C$5:$E$37,2,0),K78*14*VLOOKUP(C78,Segédlet!$C$5:$E$37,2,0)+(G78-14)*K78*VLOOKUP(C78,Segédlet!$C$5:$E$37,3,0)),"")</f>
        <v/>
      </c>
      <c r="Q78" s="29" t="str">
        <f t="shared" si="23"/>
        <v/>
      </c>
      <c r="R78" s="29" t="str">
        <f t="shared" si="24"/>
        <v/>
      </c>
      <c r="S78" s="23" t="str">
        <f>IF(B78&lt;&gt;"",IF(OR(B78=Segédlet!$J$6,B78=Segédlet!$J$7),0,IF(AND(B78=Segédlet!$J$5,E78&lt;10),IF(E78&lt;10,E78*70*K78,"700"),IF(B78 &lt;&gt; Segédlet!$J$5,0,700*K78))),"")</f>
        <v/>
      </c>
      <c r="T78" s="43" t="str">
        <f t="shared" si="25"/>
        <v/>
      </c>
    </row>
    <row r="79" spans="1:20" s="24" customFormat="1" x14ac:dyDescent="0.2">
      <c r="A79" s="26" t="str">
        <f t="shared" si="17"/>
        <v xml:space="preserve"> </v>
      </c>
      <c r="B79" s="27"/>
      <c r="C79" s="35"/>
      <c r="D79" s="42" t="str">
        <f>IF(C79&lt;&gt;"",INDEX(Segédlet!$B$5:$B$37,MATCH(C79,Segédlet!$C$5:$C$37,0)),"")</f>
        <v/>
      </c>
      <c r="E79" s="36"/>
      <c r="F79" s="25"/>
      <c r="G79" s="22" t="str">
        <f t="shared" si="18"/>
        <v/>
      </c>
      <c r="H79" s="25" t="str">
        <f t="shared" si="19"/>
        <v/>
      </c>
      <c r="I79" s="25" t="str">
        <f t="shared" si="20"/>
        <v/>
      </c>
      <c r="J79" s="25" t="str">
        <f t="shared" si="21"/>
        <v/>
      </c>
      <c r="K79" s="28"/>
      <c r="L79" s="28" t="str">
        <f t="shared" si="22"/>
        <v/>
      </c>
      <c r="M79" s="37"/>
      <c r="N79" s="23" t="str">
        <f>IF(B79&lt;&gt;"",IF(AND(I79&gt;0,R79&gt;0),(K79+J79-I79)*VLOOKUP(M79,Segédlet!$G$5:$H$12,2,0),(K79+J79)*VLOOKUP(M79,Segédlet!$G$5:$H$12,2,0)),"")</f>
        <v/>
      </c>
      <c r="O79" s="23" t="str">
        <f>IF(B79&lt;&gt;"",IF(G79&lt;=14,G79*J79*VLOOKUP(C79,Segédlet!$C$5:$E$37,2,0),J79*14*VLOOKUP(C79,Segédlet!$C$5:$E$37,2,0)+(G79-14)*J79*VLOOKUP(C79,Segédlet!$C$5:$E$37,3,0)),"")</f>
        <v/>
      </c>
      <c r="P79" s="23" t="str">
        <f>IF(B79&lt;&gt;"",IF(G79&lt;=14,G79*K79*VLOOKUP(C79,Segédlet!$C$5:$E$37,2,0),K79*14*VLOOKUP(C79,Segédlet!$C$5:$E$37,2,0)+(G79-14)*K79*VLOOKUP(C79,Segédlet!$C$5:$E$37,3,0)),"")</f>
        <v/>
      </c>
      <c r="Q79" s="29" t="str">
        <f t="shared" si="23"/>
        <v/>
      </c>
      <c r="R79" s="29" t="str">
        <f t="shared" si="24"/>
        <v/>
      </c>
      <c r="S79" s="23" t="str">
        <f>IF(B79&lt;&gt;"",IF(OR(B79=Segédlet!$J$6,B79=Segédlet!$J$7),0,IF(AND(B79=Segédlet!$J$5,E79&lt;10),IF(E79&lt;10,E79*70*K79,"700"),IF(B79 &lt;&gt; Segédlet!$J$5,0,700*K79))),"")</f>
        <v/>
      </c>
      <c r="T79" s="43" t="str">
        <f t="shared" si="25"/>
        <v/>
      </c>
    </row>
    <row r="80" spans="1:20" s="24" customFormat="1" x14ac:dyDescent="0.2">
      <c r="A80" s="26" t="str">
        <f t="shared" si="17"/>
        <v xml:space="preserve"> </v>
      </c>
      <c r="B80" s="27"/>
      <c r="C80" s="35"/>
      <c r="D80" s="42" t="str">
        <f>IF(C80&lt;&gt;"",INDEX(Segédlet!$B$5:$B$37,MATCH(C80,Segédlet!$C$5:$C$37,0)),"")</f>
        <v/>
      </c>
      <c r="E80" s="36"/>
      <c r="F80" s="25"/>
      <c r="G80" s="22" t="str">
        <f t="shared" si="18"/>
        <v/>
      </c>
      <c r="H80" s="25" t="str">
        <f t="shared" si="19"/>
        <v/>
      </c>
      <c r="I80" s="25" t="str">
        <f t="shared" si="20"/>
        <v/>
      </c>
      <c r="J80" s="25" t="str">
        <f t="shared" si="21"/>
        <v/>
      </c>
      <c r="K80" s="28"/>
      <c r="L80" s="28" t="str">
        <f t="shared" si="22"/>
        <v/>
      </c>
      <c r="M80" s="37"/>
      <c r="N80" s="23" t="str">
        <f>IF(B80&lt;&gt;"",IF(AND(I80&gt;0,R80&gt;0),(K80+J80-I80)*VLOOKUP(M80,Segédlet!$G$5:$H$12,2,0),(K80+J80)*VLOOKUP(M80,Segédlet!$G$5:$H$12,2,0)),"")</f>
        <v/>
      </c>
      <c r="O80" s="23" t="str">
        <f>IF(B80&lt;&gt;"",IF(G80&lt;=14,G80*J80*VLOOKUP(C80,Segédlet!$C$5:$E$37,2,0),J80*14*VLOOKUP(C80,Segédlet!$C$5:$E$37,2,0)+(G80-14)*J80*VLOOKUP(C80,Segédlet!$C$5:$E$37,3,0)),"")</f>
        <v/>
      </c>
      <c r="P80" s="23" t="str">
        <f>IF(B80&lt;&gt;"",IF(G80&lt;=14,G80*K80*VLOOKUP(C80,Segédlet!$C$5:$E$37,2,0),K80*14*VLOOKUP(C80,Segédlet!$C$5:$E$37,2,0)+(G80-14)*K80*VLOOKUP(C80,Segédlet!$C$5:$E$37,3,0)),"")</f>
        <v/>
      </c>
      <c r="Q80" s="29" t="str">
        <f t="shared" si="23"/>
        <v/>
      </c>
      <c r="R80" s="29" t="str">
        <f t="shared" si="24"/>
        <v/>
      </c>
      <c r="S80" s="23" t="str">
        <f>IF(B80&lt;&gt;"",IF(OR(B80=Segédlet!$J$6,B80=Segédlet!$J$7),0,IF(AND(B80=Segédlet!$J$5,E80&lt;10),IF(E80&lt;10,E80*70*K80,"700"),IF(B80 &lt;&gt; Segédlet!$J$5,0,700*K80))),"")</f>
        <v/>
      </c>
      <c r="T80" s="43" t="str">
        <f t="shared" si="25"/>
        <v/>
      </c>
    </row>
    <row r="81" spans="1:20" s="24" customFormat="1" x14ac:dyDescent="0.2">
      <c r="A81" s="26" t="str">
        <f t="shared" si="17"/>
        <v xml:space="preserve"> </v>
      </c>
      <c r="B81" s="27"/>
      <c r="C81" s="35"/>
      <c r="D81" s="42" t="str">
        <f>IF(C81&lt;&gt;"",INDEX(Segédlet!$B$5:$B$37,MATCH(C81,Segédlet!$C$5:$C$37,0)),"")</f>
        <v/>
      </c>
      <c r="E81" s="36"/>
      <c r="F81" s="25"/>
      <c r="G81" s="22" t="str">
        <f t="shared" si="18"/>
        <v/>
      </c>
      <c r="H81" s="25" t="str">
        <f t="shared" si="19"/>
        <v/>
      </c>
      <c r="I81" s="25" t="str">
        <f t="shared" si="20"/>
        <v/>
      </c>
      <c r="J81" s="25" t="str">
        <f t="shared" si="21"/>
        <v/>
      </c>
      <c r="K81" s="28"/>
      <c r="L81" s="28" t="str">
        <f t="shared" si="22"/>
        <v/>
      </c>
      <c r="M81" s="37"/>
      <c r="N81" s="23" t="str">
        <f>IF(B81&lt;&gt;"",IF(AND(I81&gt;0,R81&gt;0),(K81+J81-I81)*VLOOKUP(M81,Segédlet!$G$5:$H$12,2,0),(K81+J81)*VLOOKUP(M81,Segédlet!$G$5:$H$12,2,0)),"")</f>
        <v/>
      </c>
      <c r="O81" s="23" t="str">
        <f>IF(B81&lt;&gt;"",IF(G81&lt;=14,G81*J81*VLOOKUP(C81,Segédlet!$C$5:$E$37,2,0),J81*14*VLOOKUP(C81,Segédlet!$C$5:$E$37,2,0)+(G81-14)*J81*VLOOKUP(C81,Segédlet!$C$5:$E$37,3,0)),"")</f>
        <v/>
      </c>
      <c r="P81" s="23" t="str">
        <f>IF(B81&lt;&gt;"",IF(G81&lt;=14,G81*K81*VLOOKUP(C81,Segédlet!$C$5:$E$37,2,0),K81*14*VLOOKUP(C81,Segédlet!$C$5:$E$37,2,0)+(G81-14)*K81*VLOOKUP(C81,Segédlet!$C$5:$E$37,3,0)),"")</f>
        <v/>
      </c>
      <c r="Q81" s="29" t="str">
        <f t="shared" si="23"/>
        <v/>
      </c>
      <c r="R81" s="29" t="str">
        <f t="shared" si="24"/>
        <v/>
      </c>
      <c r="S81" s="23" t="str">
        <f>IF(B81&lt;&gt;"",IF(OR(B81=Segédlet!$J$6,B81=Segédlet!$J$7),0,IF(AND(B81=Segédlet!$J$5,E81&lt;10),IF(E81&lt;10,E81*70*K81,"700"),IF(B81 &lt;&gt; Segédlet!$J$5,0,700*K81))),"")</f>
        <v/>
      </c>
      <c r="T81" s="43" t="str">
        <f t="shared" si="25"/>
        <v/>
      </c>
    </row>
    <row r="82" spans="1:20" s="24" customFormat="1" x14ac:dyDescent="0.2">
      <c r="A82" s="26" t="str">
        <f t="shared" si="17"/>
        <v xml:space="preserve"> </v>
      </c>
      <c r="B82" s="27"/>
      <c r="C82" s="35"/>
      <c r="D82" s="42" t="str">
        <f>IF(C82&lt;&gt;"",INDEX(Segédlet!$B$5:$B$37,MATCH(C82,Segédlet!$C$5:$C$37,0)),"")</f>
        <v/>
      </c>
      <c r="E82" s="36"/>
      <c r="F82" s="25"/>
      <c r="G82" s="22" t="str">
        <f t="shared" si="18"/>
        <v/>
      </c>
      <c r="H82" s="25" t="str">
        <f t="shared" si="19"/>
        <v/>
      </c>
      <c r="I82" s="25" t="str">
        <f t="shared" si="20"/>
        <v/>
      </c>
      <c r="J82" s="25" t="str">
        <f t="shared" si="21"/>
        <v/>
      </c>
      <c r="K82" s="28"/>
      <c r="L82" s="28" t="str">
        <f t="shared" si="22"/>
        <v/>
      </c>
      <c r="M82" s="37"/>
      <c r="N82" s="23" t="str">
        <f>IF(B82&lt;&gt;"",IF(AND(I82&gt;0,R82&gt;0),(K82+J82-I82)*VLOOKUP(M82,Segédlet!$G$5:$H$12,2,0),(K82+J82)*VLOOKUP(M82,Segédlet!$G$5:$H$12,2,0)),"")</f>
        <v/>
      </c>
      <c r="O82" s="23" t="str">
        <f>IF(B82&lt;&gt;"",IF(G82&lt;=14,G82*J82*VLOOKUP(C82,Segédlet!$C$5:$E$37,2,0),J82*14*VLOOKUP(C82,Segédlet!$C$5:$E$37,2,0)+(G82-14)*J82*VLOOKUP(C82,Segédlet!$C$5:$E$37,3,0)),"")</f>
        <v/>
      </c>
      <c r="P82" s="23" t="str">
        <f>IF(B82&lt;&gt;"",IF(G82&lt;=14,G82*K82*VLOOKUP(C82,Segédlet!$C$5:$E$37,2,0),K82*14*VLOOKUP(C82,Segédlet!$C$5:$E$37,2,0)+(G82-14)*K82*VLOOKUP(C82,Segédlet!$C$5:$E$37,3,0)),"")</f>
        <v/>
      </c>
      <c r="Q82" s="29" t="str">
        <f t="shared" si="23"/>
        <v/>
      </c>
      <c r="R82" s="29" t="str">
        <f t="shared" si="24"/>
        <v/>
      </c>
      <c r="S82" s="23" t="str">
        <f>IF(B82&lt;&gt;"",IF(OR(B82=Segédlet!$J$6,B82=Segédlet!$J$7),0,IF(AND(B82=Segédlet!$J$5,E82&lt;10),IF(E82&lt;10,E82*70*K82,"700"),IF(B82 &lt;&gt; Segédlet!$J$5,0,700*K82))),"")</f>
        <v/>
      </c>
      <c r="T82" s="43" t="str">
        <f t="shared" si="25"/>
        <v/>
      </c>
    </row>
    <row r="83" spans="1:20" s="24" customFormat="1" x14ac:dyDescent="0.2">
      <c r="A83" s="26" t="str">
        <f t="shared" si="17"/>
        <v xml:space="preserve"> </v>
      </c>
      <c r="B83" s="27"/>
      <c r="C83" s="35"/>
      <c r="D83" s="42" t="str">
        <f>IF(C83&lt;&gt;"",INDEX(Segédlet!$B$5:$B$37,MATCH(C83,Segédlet!$C$5:$C$37,0)),"")</f>
        <v/>
      </c>
      <c r="E83" s="36"/>
      <c r="F83" s="25"/>
      <c r="G83" s="22" t="str">
        <f t="shared" si="18"/>
        <v/>
      </c>
      <c r="H83" s="25" t="str">
        <f t="shared" si="19"/>
        <v/>
      </c>
      <c r="I83" s="25" t="str">
        <f t="shared" si="20"/>
        <v/>
      </c>
      <c r="J83" s="25" t="str">
        <f t="shared" si="21"/>
        <v/>
      </c>
      <c r="K83" s="28"/>
      <c r="L83" s="28" t="str">
        <f t="shared" si="22"/>
        <v/>
      </c>
      <c r="M83" s="37"/>
      <c r="N83" s="23" t="str">
        <f>IF(B83&lt;&gt;"",IF(AND(I83&gt;0,R83&gt;0),(K83+J83-I83)*VLOOKUP(M83,Segédlet!$G$5:$H$12,2,0),(K83+J83)*VLOOKUP(M83,Segédlet!$G$5:$H$12,2,0)),"")</f>
        <v/>
      </c>
      <c r="O83" s="23" t="str">
        <f>IF(B83&lt;&gt;"",IF(G83&lt;=14,G83*J83*VLOOKUP(C83,Segédlet!$C$5:$E$37,2,0),J83*14*VLOOKUP(C83,Segédlet!$C$5:$E$37,2,0)+(G83-14)*J83*VLOOKUP(C83,Segédlet!$C$5:$E$37,3,0)),"")</f>
        <v/>
      </c>
      <c r="P83" s="23" t="str">
        <f>IF(B83&lt;&gt;"",IF(G83&lt;=14,G83*K83*VLOOKUP(C83,Segédlet!$C$5:$E$37,2,0),K83*14*VLOOKUP(C83,Segédlet!$C$5:$E$37,2,0)+(G83-14)*K83*VLOOKUP(C83,Segédlet!$C$5:$E$37,3,0)),"")</f>
        <v/>
      </c>
      <c r="Q83" s="29" t="str">
        <f t="shared" si="23"/>
        <v/>
      </c>
      <c r="R83" s="29" t="str">
        <f t="shared" si="24"/>
        <v/>
      </c>
      <c r="S83" s="23" t="str">
        <f>IF(B83&lt;&gt;"",IF(OR(B83=Segédlet!$J$6,B83=Segédlet!$J$7),0,IF(AND(B83=Segédlet!$J$5,E83&lt;10),IF(E83&lt;10,E83*70*K83,"700"),IF(B83 &lt;&gt; Segédlet!$J$5,0,700*K83))),"")</f>
        <v/>
      </c>
      <c r="T83" s="43" t="str">
        <f t="shared" si="25"/>
        <v/>
      </c>
    </row>
    <row r="84" spans="1:20" s="24" customFormat="1" x14ac:dyDescent="0.2">
      <c r="A84" s="26" t="str">
        <f t="shared" si="17"/>
        <v xml:space="preserve"> </v>
      </c>
      <c r="B84" s="27"/>
      <c r="C84" s="35"/>
      <c r="D84" s="42" t="str">
        <f>IF(C84&lt;&gt;"",INDEX(Segédlet!$B$5:$B$37,MATCH(C84,Segédlet!$C$5:$C$37,0)),"")</f>
        <v/>
      </c>
      <c r="E84" s="36"/>
      <c r="F84" s="25"/>
      <c r="G84" s="22" t="str">
        <f t="shared" si="18"/>
        <v/>
      </c>
      <c r="H84" s="25" t="str">
        <f t="shared" si="19"/>
        <v/>
      </c>
      <c r="I84" s="25" t="str">
        <f t="shared" si="20"/>
        <v/>
      </c>
      <c r="J84" s="25" t="str">
        <f t="shared" si="21"/>
        <v/>
      </c>
      <c r="K84" s="28"/>
      <c r="L84" s="28" t="str">
        <f t="shared" si="22"/>
        <v/>
      </c>
      <c r="M84" s="37"/>
      <c r="N84" s="23" t="str">
        <f>IF(B84&lt;&gt;"",IF(AND(I84&gt;0,R84&gt;0),(K84+J84-I84)*VLOOKUP(M84,Segédlet!$G$5:$H$12,2,0),(K84+J84)*VLOOKUP(M84,Segédlet!$G$5:$H$12,2,0)),"")</f>
        <v/>
      </c>
      <c r="O84" s="23" t="str">
        <f>IF(B84&lt;&gt;"",IF(G84&lt;=14,G84*J84*VLOOKUP(C84,Segédlet!$C$5:$E$37,2,0),J84*14*VLOOKUP(C84,Segédlet!$C$5:$E$37,2,0)+(G84-14)*J84*VLOOKUP(C84,Segédlet!$C$5:$E$37,3,0)),"")</f>
        <v/>
      </c>
      <c r="P84" s="23" t="str">
        <f>IF(B84&lt;&gt;"",IF(G84&lt;=14,G84*K84*VLOOKUP(C84,Segédlet!$C$5:$E$37,2,0),K84*14*VLOOKUP(C84,Segédlet!$C$5:$E$37,2,0)+(G84-14)*K84*VLOOKUP(C84,Segédlet!$C$5:$E$37,3,0)),"")</f>
        <v/>
      </c>
      <c r="Q84" s="29" t="str">
        <f t="shared" si="23"/>
        <v/>
      </c>
      <c r="R84" s="29" t="str">
        <f t="shared" si="24"/>
        <v/>
      </c>
      <c r="S84" s="23" t="str">
        <f>IF(B84&lt;&gt;"",IF(OR(B84=Segédlet!$J$6,B84=Segédlet!$J$7),0,IF(AND(B84=Segédlet!$J$5,E84&lt;10),IF(E84&lt;10,E84*70*K84,"700"),IF(B84 &lt;&gt; Segédlet!$J$5,0,700*K84))),"")</f>
        <v/>
      </c>
      <c r="T84" s="43" t="str">
        <f t="shared" si="25"/>
        <v/>
      </c>
    </row>
    <row r="85" spans="1:20" s="24" customFormat="1" x14ac:dyDescent="0.2">
      <c r="A85" s="26" t="str">
        <f t="shared" si="17"/>
        <v xml:space="preserve"> </v>
      </c>
      <c r="B85" s="27"/>
      <c r="C85" s="35"/>
      <c r="D85" s="42" t="str">
        <f>IF(C85&lt;&gt;"",INDEX(Segédlet!$B$5:$B$37,MATCH(C85,Segédlet!$C$5:$C$37,0)),"")</f>
        <v/>
      </c>
      <c r="E85" s="36"/>
      <c r="F85" s="25"/>
      <c r="G85" s="22" t="str">
        <f t="shared" si="18"/>
        <v/>
      </c>
      <c r="H85" s="25" t="str">
        <f t="shared" si="19"/>
        <v/>
      </c>
      <c r="I85" s="25" t="str">
        <f t="shared" si="20"/>
        <v/>
      </c>
      <c r="J85" s="25" t="str">
        <f t="shared" si="21"/>
        <v/>
      </c>
      <c r="K85" s="28"/>
      <c r="L85" s="28" t="str">
        <f t="shared" si="22"/>
        <v/>
      </c>
      <c r="M85" s="37"/>
      <c r="N85" s="23" t="str">
        <f>IF(B85&lt;&gt;"",IF(AND(I85&gt;0,R85&gt;0),(K85+J85-I85)*VLOOKUP(M85,Segédlet!$G$5:$H$12,2,0),(K85+J85)*VLOOKUP(M85,Segédlet!$G$5:$H$12,2,0)),"")</f>
        <v/>
      </c>
      <c r="O85" s="23" t="str">
        <f>IF(B85&lt;&gt;"",IF(G85&lt;=14,G85*J85*VLOOKUP(C85,Segédlet!$C$5:$E$37,2,0),J85*14*VLOOKUP(C85,Segédlet!$C$5:$E$37,2,0)+(G85-14)*J85*VLOOKUP(C85,Segédlet!$C$5:$E$37,3,0)),"")</f>
        <v/>
      </c>
      <c r="P85" s="23" t="str">
        <f>IF(B85&lt;&gt;"",IF(G85&lt;=14,G85*K85*VLOOKUP(C85,Segédlet!$C$5:$E$37,2,0),K85*14*VLOOKUP(C85,Segédlet!$C$5:$E$37,2,0)+(G85-14)*K85*VLOOKUP(C85,Segédlet!$C$5:$E$37,3,0)),"")</f>
        <v/>
      </c>
      <c r="Q85" s="29" t="str">
        <f t="shared" si="23"/>
        <v/>
      </c>
      <c r="R85" s="29" t="str">
        <f t="shared" si="24"/>
        <v/>
      </c>
      <c r="S85" s="23" t="str">
        <f>IF(B85&lt;&gt;"",IF(OR(B85=Segédlet!$J$6,B85=Segédlet!$J$7),0,IF(AND(B85=Segédlet!$J$5,E85&lt;10),IF(E85&lt;10,E85*70*K85,"700"),IF(B85 &lt;&gt; Segédlet!$J$5,0,700*K85))),"")</f>
        <v/>
      </c>
      <c r="T85" s="43" t="str">
        <f t="shared" si="25"/>
        <v/>
      </c>
    </row>
    <row r="86" spans="1:20" s="24" customFormat="1" x14ac:dyDescent="0.2">
      <c r="A86" s="26" t="str">
        <f t="shared" si="17"/>
        <v xml:space="preserve"> </v>
      </c>
      <c r="B86" s="27"/>
      <c r="C86" s="35"/>
      <c r="D86" s="42" t="str">
        <f>IF(C86&lt;&gt;"",INDEX(Segédlet!$B$5:$B$37,MATCH(C86,Segédlet!$C$5:$C$37,0)),"")</f>
        <v/>
      </c>
      <c r="E86" s="36"/>
      <c r="F86" s="25"/>
      <c r="G86" s="22" t="str">
        <f t="shared" si="18"/>
        <v/>
      </c>
      <c r="H86" s="25" t="str">
        <f t="shared" si="19"/>
        <v/>
      </c>
      <c r="I86" s="25" t="str">
        <f t="shared" si="20"/>
        <v/>
      </c>
      <c r="J86" s="25" t="str">
        <f t="shared" si="21"/>
        <v/>
      </c>
      <c r="K86" s="28"/>
      <c r="L86" s="28" t="str">
        <f t="shared" si="22"/>
        <v/>
      </c>
      <c r="M86" s="37"/>
      <c r="N86" s="23" t="str">
        <f>IF(B86&lt;&gt;"",IF(AND(I86&gt;0,R86&gt;0),(K86+J86-I86)*VLOOKUP(M86,Segédlet!$G$5:$H$12,2,0),(K86+J86)*VLOOKUP(M86,Segédlet!$G$5:$H$12,2,0)),"")</f>
        <v/>
      </c>
      <c r="O86" s="23" t="str">
        <f>IF(B86&lt;&gt;"",IF(G86&lt;=14,G86*J86*VLOOKUP(C86,Segédlet!$C$5:$E$37,2,0),J86*14*VLOOKUP(C86,Segédlet!$C$5:$E$37,2,0)+(G86-14)*J86*VLOOKUP(C86,Segédlet!$C$5:$E$37,3,0)),"")</f>
        <v/>
      </c>
      <c r="P86" s="23" t="str">
        <f>IF(B86&lt;&gt;"",IF(G86&lt;=14,G86*K86*VLOOKUP(C86,Segédlet!$C$5:$E$37,2,0),K86*14*VLOOKUP(C86,Segédlet!$C$5:$E$37,2,0)+(G86-14)*K86*VLOOKUP(C86,Segédlet!$C$5:$E$37,3,0)),"")</f>
        <v/>
      </c>
      <c r="Q86" s="29" t="str">
        <f t="shared" si="23"/>
        <v/>
      </c>
      <c r="R86" s="29" t="str">
        <f t="shared" si="24"/>
        <v/>
      </c>
      <c r="S86" s="23" t="str">
        <f>IF(B86&lt;&gt;"",IF(OR(B86=Segédlet!$J$6,B86=Segédlet!$J$7),0,IF(AND(B86=Segédlet!$J$5,E86&lt;10),IF(E86&lt;10,E86*70*K86,"700"),IF(B86 &lt;&gt; Segédlet!$J$5,0,700*K86))),"")</f>
        <v/>
      </c>
      <c r="T86" s="43" t="str">
        <f t="shared" si="25"/>
        <v/>
      </c>
    </row>
    <row r="87" spans="1:20" s="24" customFormat="1" x14ac:dyDescent="0.2">
      <c r="A87" s="26" t="str">
        <f t="shared" si="17"/>
        <v xml:space="preserve"> </v>
      </c>
      <c r="B87" s="27"/>
      <c r="C87" s="35"/>
      <c r="D87" s="42" t="str">
        <f>IF(C87&lt;&gt;"",INDEX(Segédlet!$B$5:$B$37,MATCH(C87,Segédlet!$C$5:$C$37,0)),"")</f>
        <v/>
      </c>
      <c r="E87" s="36"/>
      <c r="F87" s="25"/>
      <c r="G87" s="22" t="str">
        <f t="shared" si="18"/>
        <v/>
      </c>
      <c r="H87" s="25" t="str">
        <f t="shared" si="19"/>
        <v/>
      </c>
      <c r="I87" s="25" t="str">
        <f t="shared" si="20"/>
        <v/>
      </c>
      <c r="J87" s="25" t="str">
        <f t="shared" si="21"/>
        <v/>
      </c>
      <c r="K87" s="28"/>
      <c r="L87" s="28" t="str">
        <f t="shared" si="22"/>
        <v/>
      </c>
      <c r="M87" s="37"/>
      <c r="N87" s="23" t="str">
        <f>IF(B87&lt;&gt;"",IF(AND(I87&gt;0,R87&gt;0),(K87+J87-I87)*VLOOKUP(M87,Segédlet!$G$5:$H$12,2,0),(K87+J87)*VLOOKUP(M87,Segédlet!$G$5:$H$12,2,0)),"")</f>
        <v/>
      </c>
      <c r="O87" s="23" t="str">
        <f>IF(B87&lt;&gt;"",IF(G87&lt;=14,G87*J87*VLOOKUP(C87,Segédlet!$C$5:$E$37,2,0),J87*14*VLOOKUP(C87,Segédlet!$C$5:$E$37,2,0)+(G87-14)*J87*VLOOKUP(C87,Segédlet!$C$5:$E$37,3,0)),"")</f>
        <v/>
      </c>
      <c r="P87" s="23" t="str">
        <f>IF(B87&lt;&gt;"",IF(G87&lt;=14,G87*K87*VLOOKUP(C87,Segédlet!$C$5:$E$37,2,0),K87*14*VLOOKUP(C87,Segédlet!$C$5:$E$37,2,0)+(G87-14)*K87*VLOOKUP(C87,Segédlet!$C$5:$E$37,3,0)),"")</f>
        <v/>
      </c>
      <c r="Q87" s="29" t="str">
        <f t="shared" si="23"/>
        <v/>
      </c>
      <c r="R87" s="29" t="str">
        <f t="shared" si="24"/>
        <v/>
      </c>
      <c r="S87" s="23" t="str">
        <f>IF(B87&lt;&gt;"",IF(OR(B87=Segédlet!$J$6,B87=Segédlet!$J$7),0,IF(AND(B87=Segédlet!$J$5,E87&lt;10),IF(E87&lt;10,E87*70*K87,"700"),IF(B87 &lt;&gt; Segédlet!$J$5,0,700*K87))),"")</f>
        <v/>
      </c>
      <c r="T87" s="43" t="str">
        <f t="shared" si="25"/>
        <v/>
      </c>
    </row>
    <row r="88" spans="1:20" s="24" customFormat="1" x14ac:dyDescent="0.2">
      <c r="A88" s="26" t="str">
        <f t="shared" si="17"/>
        <v xml:space="preserve"> </v>
      </c>
      <c r="B88" s="27"/>
      <c r="C88" s="35"/>
      <c r="D88" s="42" t="str">
        <f>IF(C88&lt;&gt;"",INDEX(Segédlet!$B$5:$B$37,MATCH(C88,Segédlet!$C$5:$C$37,0)),"")</f>
        <v/>
      </c>
      <c r="E88" s="36"/>
      <c r="F88" s="25"/>
      <c r="G88" s="22" t="str">
        <f t="shared" si="18"/>
        <v/>
      </c>
      <c r="H88" s="25" t="str">
        <f t="shared" si="19"/>
        <v/>
      </c>
      <c r="I88" s="25" t="str">
        <f t="shared" si="20"/>
        <v/>
      </c>
      <c r="J88" s="25" t="str">
        <f t="shared" si="21"/>
        <v/>
      </c>
      <c r="K88" s="28"/>
      <c r="L88" s="28" t="str">
        <f t="shared" si="22"/>
        <v/>
      </c>
      <c r="M88" s="37"/>
      <c r="N88" s="23" t="str">
        <f>IF(B88&lt;&gt;"",IF(AND(I88&gt;0,R88&gt;0),(K88+J88-I88)*VLOOKUP(M88,Segédlet!$G$5:$H$12,2,0),(K88+J88)*VLOOKUP(M88,Segédlet!$G$5:$H$12,2,0)),"")</f>
        <v/>
      </c>
      <c r="O88" s="23" t="str">
        <f>IF(B88&lt;&gt;"",IF(G88&lt;=14,G88*J88*VLOOKUP(C88,Segédlet!$C$5:$E$37,2,0),J88*14*VLOOKUP(C88,Segédlet!$C$5:$E$37,2,0)+(G88-14)*J88*VLOOKUP(C88,Segédlet!$C$5:$E$37,3,0)),"")</f>
        <v/>
      </c>
      <c r="P88" s="23" t="str">
        <f>IF(B88&lt;&gt;"",IF(G88&lt;=14,G88*K88*VLOOKUP(C88,Segédlet!$C$5:$E$37,2,0),K88*14*VLOOKUP(C88,Segédlet!$C$5:$E$37,2,0)+(G88-14)*K88*VLOOKUP(C88,Segédlet!$C$5:$E$37,3,0)),"")</f>
        <v/>
      </c>
      <c r="Q88" s="29" t="str">
        <f t="shared" si="23"/>
        <v/>
      </c>
      <c r="R88" s="29" t="str">
        <f t="shared" si="24"/>
        <v/>
      </c>
      <c r="S88" s="23" t="str">
        <f>IF(B88&lt;&gt;"",IF(OR(B88=Segédlet!$J$6,B88=Segédlet!$J$7),0,IF(AND(B88=Segédlet!$J$5,E88&lt;10),IF(E88&lt;10,E88*70*K88,"700"),IF(B88 &lt;&gt; Segédlet!$J$5,0,700*K88))),"")</f>
        <v/>
      </c>
      <c r="T88" s="43" t="str">
        <f t="shared" si="25"/>
        <v/>
      </c>
    </row>
    <row r="89" spans="1:20" s="24" customFormat="1" x14ac:dyDescent="0.2">
      <c r="A89" s="26" t="str">
        <f t="shared" si="17"/>
        <v xml:space="preserve"> </v>
      </c>
      <c r="B89" s="27"/>
      <c r="C89" s="35"/>
      <c r="D89" s="42" t="str">
        <f>IF(C89&lt;&gt;"",INDEX(Segédlet!$B$5:$B$37,MATCH(C89,Segédlet!$C$5:$C$37,0)),"")</f>
        <v/>
      </c>
      <c r="E89" s="36"/>
      <c r="F89" s="25"/>
      <c r="G89" s="22" t="str">
        <f t="shared" si="18"/>
        <v/>
      </c>
      <c r="H89" s="25" t="str">
        <f t="shared" si="19"/>
        <v/>
      </c>
      <c r="I89" s="25" t="str">
        <f t="shared" si="20"/>
        <v/>
      </c>
      <c r="J89" s="25" t="str">
        <f t="shared" si="21"/>
        <v/>
      </c>
      <c r="K89" s="28"/>
      <c r="L89" s="28" t="str">
        <f t="shared" si="22"/>
        <v/>
      </c>
      <c r="M89" s="37"/>
      <c r="N89" s="23" t="str">
        <f>IF(B89&lt;&gt;"",IF(AND(I89&gt;0,R89&gt;0),(K89+J89-I89)*VLOOKUP(M89,Segédlet!$G$5:$H$12,2,0),(K89+J89)*VLOOKUP(M89,Segédlet!$G$5:$H$12,2,0)),"")</f>
        <v/>
      </c>
      <c r="O89" s="23" t="str">
        <f>IF(B89&lt;&gt;"",IF(G89&lt;=14,G89*J89*VLOOKUP(C89,Segédlet!$C$5:$E$37,2,0),J89*14*VLOOKUP(C89,Segédlet!$C$5:$E$37,2,0)+(G89-14)*J89*VLOOKUP(C89,Segédlet!$C$5:$E$37,3,0)),"")</f>
        <v/>
      </c>
      <c r="P89" s="23" t="str">
        <f>IF(B89&lt;&gt;"",IF(G89&lt;=14,G89*K89*VLOOKUP(C89,Segédlet!$C$5:$E$37,2,0),K89*14*VLOOKUP(C89,Segédlet!$C$5:$E$37,2,0)+(G89-14)*K89*VLOOKUP(C89,Segédlet!$C$5:$E$37,3,0)),"")</f>
        <v/>
      </c>
      <c r="Q89" s="29" t="str">
        <f t="shared" si="23"/>
        <v/>
      </c>
      <c r="R89" s="29" t="str">
        <f t="shared" si="24"/>
        <v/>
      </c>
      <c r="S89" s="23" t="str">
        <f>IF(B89&lt;&gt;"",IF(OR(B89=Segédlet!$J$6,B89=Segédlet!$J$7),0,IF(AND(B89=Segédlet!$J$5,E89&lt;10),IF(E89&lt;10,E89*70*K89,"700"),IF(B89 &lt;&gt; Segédlet!$J$5,0,700*K89))),"")</f>
        <v/>
      </c>
      <c r="T89" s="43" t="str">
        <f t="shared" si="25"/>
        <v/>
      </c>
    </row>
    <row r="90" spans="1:20" s="24" customFormat="1" x14ac:dyDescent="0.2">
      <c r="A90" s="26" t="str">
        <f t="shared" si="17"/>
        <v xml:space="preserve"> </v>
      </c>
      <c r="B90" s="27"/>
      <c r="C90" s="35"/>
      <c r="D90" s="42" t="str">
        <f>IF(C90&lt;&gt;"",INDEX(Segédlet!$B$5:$B$37,MATCH(C90,Segédlet!$C$5:$C$37,0)),"")</f>
        <v/>
      </c>
      <c r="E90" s="36"/>
      <c r="F90" s="25"/>
      <c r="G90" s="22" t="str">
        <f t="shared" si="18"/>
        <v/>
      </c>
      <c r="H90" s="25" t="str">
        <f t="shared" si="19"/>
        <v/>
      </c>
      <c r="I90" s="25" t="str">
        <f t="shared" si="20"/>
        <v/>
      </c>
      <c r="J90" s="25" t="str">
        <f t="shared" si="21"/>
        <v/>
      </c>
      <c r="K90" s="28"/>
      <c r="L90" s="28" t="str">
        <f t="shared" si="22"/>
        <v/>
      </c>
      <c r="M90" s="37"/>
      <c r="N90" s="23" t="str">
        <f>IF(B90&lt;&gt;"",IF(AND(I90&gt;0,R90&gt;0),(K90+J90-I90)*VLOOKUP(M90,Segédlet!$G$5:$H$12,2,0),(K90+J90)*VLOOKUP(M90,Segédlet!$G$5:$H$12,2,0)),"")</f>
        <v/>
      </c>
      <c r="O90" s="23" t="str">
        <f>IF(B90&lt;&gt;"",IF(G90&lt;=14,G90*J90*VLOOKUP(C90,Segédlet!$C$5:$E$37,2,0),J90*14*VLOOKUP(C90,Segédlet!$C$5:$E$37,2,0)+(G90-14)*J90*VLOOKUP(C90,Segédlet!$C$5:$E$37,3,0)),"")</f>
        <v/>
      </c>
      <c r="P90" s="23" t="str">
        <f>IF(B90&lt;&gt;"",IF(G90&lt;=14,G90*K90*VLOOKUP(C90,Segédlet!$C$5:$E$37,2,0),K90*14*VLOOKUP(C90,Segédlet!$C$5:$E$37,2,0)+(G90-14)*K90*VLOOKUP(C90,Segédlet!$C$5:$E$37,3,0)),"")</f>
        <v/>
      </c>
      <c r="Q90" s="29" t="str">
        <f t="shared" si="23"/>
        <v/>
      </c>
      <c r="R90" s="29" t="str">
        <f t="shared" si="24"/>
        <v/>
      </c>
      <c r="S90" s="23" t="str">
        <f>IF(B90&lt;&gt;"",IF(OR(B90=Segédlet!$J$6,B90=Segédlet!$J$7),0,IF(AND(B90=Segédlet!$J$5,E90&lt;10),IF(E90&lt;10,E90*70*K90,"700"),IF(B90 &lt;&gt; Segédlet!$J$5,0,700*K90))),"")</f>
        <v/>
      </c>
      <c r="T90" s="43" t="str">
        <f t="shared" si="25"/>
        <v/>
      </c>
    </row>
    <row r="91" spans="1:20" s="24" customFormat="1" x14ac:dyDescent="0.2">
      <c r="A91" s="26" t="str">
        <f t="shared" si="17"/>
        <v xml:space="preserve"> </v>
      </c>
      <c r="B91" s="27"/>
      <c r="C91" s="35"/>
      <c r="D91" s="42" t="str">
        <f>IF(C91&lt;&gt;"",INDEX(Segédlet!$B$5:$B$37,MATCH(C91,Segédlet!$C$5:$C$37,0)),"")</f>
        <v/>
      </c>
      <c r="E91" s="36"/>
      <c r="F91" s="25"/>
      <c r="G91" s="22" t="str">
        <f t="shared" si="18"/>
        <v/>
      </c>
      <c r="H91" s="25" t="str">
        <f t="shared" si="19"/>
        <v/>
      </c>
      <c r="I91" s="25" t="str">
        <f t="shared" si="20"/>
        <v/>
      </c>
      <c r="J91" s="25" t="str">
        <f t="shared" si="21"/>
        <v/>
      </c>
      <c r="K91" s="28"/>
      <c r="L91" s="28" t="str">
        <f t="shared" si="22"/>
        <v/>
      </c>
      <c r="M91" s="37"/>
      <c r="N91" s="23" t="str">
        <f>IF(B91&lt;&gt;"",IF(AND(I91&gt;0,R91&gt;0),(K91+J91-I91)*VLOOKUP(M91,Segédlet!$G$5:$H$12,2,0),(K91+J91)*VLOOKUP(M91,Segédlet!$G$5:$H$12,2,0)),"")</f>
        <v/>
      </c>
      <c r="O91" s="23" t="str">
        <f>IF(B91&lt;&gt;"",IF(G91&lt;=14,G91*J91*VLOOKUP(C91,Segédlet!$C$5:$E$37,2,0),J91*14*VLOOKUP(C91,Segédlet!$C$5:$E$37,2,0)+(G91-14)*J91*VLOOKUP(C91,Segédlet!$C$5:$E$37,3,0)),"")</f>
        <v/>
      </c>
      <c r="P91" s="23" t="str">
        <f>IF(B91&lt;&gt;"",IF(G91&lt;=14,G91*K91*VLOOKUP(C91,Segédlet!$C$5:$E$37,2,0),K91*14*VLOOKUP(C91,Segédlet!$C$5:$E$37,2,0)+(G91-14)*K91*VLOOKUP(C91,Segédlet!$C$5:$E$37,3,0)),"")</f>
        <v/>
      </c>
      <c r="Q91" s="29" t="str">
        <f t="shared" si="23"/>
        <v/>
      </c>
      <c r="R91" s="29" t="str">
        <f t="shared" si="24"/>
        <v/>
      </c>
      <c r="S91" s="23" t="str">
        <f>IF(B91&lt;&gt;"",IF(OR(B91=Segédlet!$J$6,B91=Segédlet!$J$7),0,IF(AND(B91=Segédlet!$J$5,E91&lt;10),IF(E91&lt;10,E91*70*K91,"700"),IF(B91 &lt;&gt; Segédlet!$J$5,0,700*K91))),"")</f>
        <v/>
      </c>
      <c r="T91" s="43" t="str">
        <f t="shared" si="25"/>
        <v/>
      </c>
    </row>
    <row r="92" spans="1:20" s="24" customFormat="1" x14ac:dyDescent="0.2">
      <c r="A92" s="26" t="str">
        <f t="shared" si="17"/>
        <v xml:space="preserve"> </v>
      </c>
      <c r="B92" s="27"/>
      <c r="C92" s="35"/>
      <c r="D92" s="42" t="str">
        <f>IF(C92&lt;&gt;"",INDEX(Segédlet!$B$5:$B$37,MATCH(C92,Segédlet!$C$5:$C$37,0)),"")</f>
        <v/>
      </c>
      <c r="E92" s="36"/>
      <c r="F92" s="25"/>
      <c r="G92" s="22" t="str">
        <f t="shared" si="18"/>
        <v/>
      </c>
      <c r="H92" s="25" t="str">
        <f t="shared" si="19"/>
        <v/>
      </c>
      <c r="I92" s="25" t="str">
        <f t="shared" si="20"/>
        <v/>
      </c>
      <c r="J92" s="25" t="str">
        <f t="shared" si="21"/>
        <v/>
      </c>
      <c r="K92" s="28"/>
      <c r="L92" s="28" t="str">
        <f t="shared" si="22"/>
        <v/>
      </c>
      <c r="M92" s="37"/>
      <c r="N92" s="23" t="str">
        <f>IF(B92&lt;&gt;"",IF(AND(I92&gt;0,R92&gt;0),(K92+J92-I92)*VLOOKUP(M92,Segédlet!$G$5:$H$12,2,0),(K92+J92)*VLOOKUP(M92,Segédlet!$G$5:$H$12,2,0)),"")</f>
        <v/>
      </c>
      <c r="O92" s="23" t="str">
        <f>IF(B92&lt;&gt;"",IF(G92&lt;=14,G92*J92*VLOOKUP(C92,Segédlet!$C$5:$E$37,2,0),J92*14*VLOOKUP(C92,Segédlet!$C$5:$E$37,2,0)+(G92-14)*J92*VLOOKUP(C92,Segédlet!$C$5:$E$37,3,0)),"")</f>
        <v/>
      </c>
      <c r="P92" s="23" t="str">
        <f>IF(B92&lt;&gt;"",IF(G92&lt;=14,G92*K92*VLOOKUP(C92,Segédlet!$C$5:$E$37,2,0),K92*14*VLOOKUP(C92,Segédlet!$C$5:$E$37,2,0)+(G92-14)*K92*VLOOKUP(C92,Segédlet!$C$5:$E$37,3,0)),"")</f>
        <v/>
      </c>
      <c r="Q92" s="29" t="str">
        <f t="shared" si="23"/>
        <v/>
      </c>
      <c r="R92" s="29" t="str">
        <f t="shared" si="24"/>
        <v/>
      </c>
      <c r="S92" s="23" t="str">
        <f>IF(B92&lt;&gt;"",IF(OR(B92=Segédlet!$J$6,B92=Segédlet!$J$7),0,IF(AND(B92=Segédlet!$J$5,E92&lt;10),IF(E92&lt;10,E92*70*K92,"700"),IF(B92 &lt;&gt; Segédlet!$J$5,0,700*K92))),"")</f>
        <v/>
      </c>
      <c r="T92" s="43" t="str">
        <f t="shared" si="25"/>
        <v/>
      </c>
    </row>
    <row r="93" spans="1:20" s="24" customFormat="1" x14ac:dyDescent="0.2">
      <c r="A93" s="26" t="str">
        <f t="shared" si="17"/>
        <v xml:space="preserve"> </v>
      </c>
      <c r="B93" s="27"/>
      <c r="C93" s="35"/>
      <c r="D93" s="42" t="str">
        <f>IF(C93&lt;&gt;"",INDEX(Segédlet!$B$5:$B$37,MATCH(C93,Segédlet!$C$5:$C$37,0)),"")</f>
        <v/>
      </c>
      <c r="E93" s="36"/>
      <c r="F93" s="25"/>
      <c r="G93" s="22" t="str">
        <f t="shared" si="18"/>
        <v/>
      </c>
      <c r="H93" s="25" t="str">
        <f t="shared" si="19"/>
        <v/>
      </c>
      <c r="I93" s="25" t="str">
        <f t="shared" si="20"/>
        <v/>
      </c>
      <c r="J93" s="25" t="str">
        <f t="shared" si="21"/>
        <v/>
      </c>
      <c r="K93" s="28"/>
      <c r="L93" s="28" t="str">
        <f t="shared" si="22"/>
        <v/>
      </c>
      <c r="M93" s="37"/>
      <c r="N93" s="23" t="str">
        <f>IF(B93&lt;&gt;"",IF(AND(I93&gt;0,R93&gt;0),(K93+J93-I93)*VLOOKUP(M93,Segédlet!$G$5:$H$12,2,0),(K93+J93)*VLOOKUP(M93,Segédlet!$G$5:$H$12,2,0)),"")</f>
        <v/>
      </c>
      <c r="O93" s="23" t="str">
        <f>IF(B93&lt;&gt;"",IF(G93&lt;=14,G93*J93*VLOOKUP(C93,Segédlet!$C$5:$E$37,2,0),J93*14*VLOOKUP(C93,Segédlet!$C$5:$E$37,2,0)+(G93-14)*J93*VLOOKUP(C93,Segédlet!$C$5:$E$37,3,0)),"")</f>
        <v/>
      </c>
      <c r="P93" s="23" t="str">
        <f>IF(B93&lt;&gt;"",IF(G93&lt;=14,G93*K93*VLOOKUP(C93,Segédlet!$C$5:$E$37,2,0),K93*14*VLOOKUP(C93,Segédlet!$C$5:$E$37,2,0)+(G93-14)*K93*VLOOKUP(C93,Segédlet!$C$5:$E$37,3,0)),"")</f>
        <v/>
      </c>
      <c r="Q93" s="29" t="str">
        <f t="shared" si="23"/>
        <v/>
      </c>
      <c r="R93" s="29" t="str">
        <f t="shared" si="24"/>
        <v/>
      </c>
      <c r="S93" s="23" t="str">
        <f>IF(B93&lt;&gt;"",IF(OR(B93=Segédlet!$J$6,B93=Segédlet!$J$7),0,IF(AND(B93=Segédlet!$J$5,E93&lt;10),IF(E93&lt;10,E93*70*K93,"700"),IF(B93 &lt;&gt; Segédlet!$J$5,0,700*K93))),"")</f>
        <v/>
      </c>
      <c r="T93" s="43" t="str">
        <f t="shared" si="25"/>
        <v/>
      </c>
    </row>
    <row r="94" spans="1:20" s="24" customFormat="1" x14ac:dyDescent="0.2">
      <c r="A94" s="26" t="str">
        <f t="shared" si="17"/>
        <v xml:space="preserve"> </v>
      </c>
      <c r="B94" s="27"/>
      <c r="C94" s="35"/>
      <c r="D94" s="42" t="str">
        <f>IF(C94&lt;&gt;"",INDEX(Segédlet!$B$5:$B$37,MATCH(C94,Segédlet!$C$5:$C$37,0)),"")</f>
        <v/>
      </c>
      <c r="E94" s="36"/>
      <c r="F94" s="25"/>
      <c r="G94" s="22" t="str">
        <f t="shared" si="18"/>
        <v/>
      </c>
      <c r="H94" s="25" t="str">
        <f t="shared" si="19"/>
        <v/>
      </c>
      <c r="I94" s="25" t="str">
        <f t="shared" si="20"/>
        <v/>
      </c>
      <c r="J94" s="25" t="str">
        <f t="shared" si="21"/>
        <v/>
      </c>
      <c r="K94" s="28"/>
      <c r="L94" s="28" t="str">
        <f t="shared" si="22"/>
        <v/>
      </c>
      <c r="M94" s="37"/>
      <c r="N94" s="23" t="str">
        <f>IF(B94&lt;&gt;"",IF(AND(I94&gt;0,R94&gt;0),(K94+J94-I94)*VLOOKUP(M94,Segédlet!$G$5:$H$12,2,0),(K94+J94)*VLOOKUP(M94,Segédlet!$G$5:$H$12,2,0)),"")</f>
        <v/>
      </c>
      <c r="O94" s="23" t="str">
        <f>IF(B94&lt;&gt;"",IF(G94&lt;=14,G94*J94*VLOOKUP(C94,Segédlet!$C$5:$E$37,2,0),J94*14*VLOOKUP(C94,Segédlet!$C$5:$E$37,2,0)+(G94-14)*J94*VLOOKUP(C94,Segédlet!$C$5:$E$37,3,0)),"")</f>
        <v/>
      </c>
      <c r="P94" s="23" t="str">
        <f>IF(B94&lt;&gt;"",IF(G94&lt;=14,G94*K94*VLOOKUP(C94,Segédlet!$C$5:$E$37,2,0),K94*14*VLOOKUP(C94,Segédlet!$C$5:$E$37,2,0)+(G94-14)*K94*VLOOKUP(C94,Segédlet!$C$5:$E$37,3,0)),"")</f>
        <v/>
      </c>
      <c r="Q94" s="29" t="str">
        <f t="shared" si="23"/>
        <v/>
      </c>
      <c r="R94" s="29" t="str">
        <f t="shared" si="24"/>
        <v/>
      </c>
      <c r="S94" s="23" t="str">
        <f>IF(B94&lt;&gt;"",IF(OR(B94=Segédlet!$J$6,B94=Segédlet!$J$7),0,IF(AND(B94=Segédlet!$J$5,E94&lt;10),IF(E94&lt;10,E94*70*K94,"700"),IF(B94 &lt;&gt; Segédlet!$J$5,0,700*K94))),"")</f>
        <v/>
      </c>
      <c r="T94" s="43" t="str">
        <f t="shared" si="25"/>
        <v/>
      </c>
    </row>
    <row r="95" spans="1:20" s="24" customFormat="1" x14ac:dyDescent="0.2">
      <c r="A95" s="26" t="str">
        <f t="shared" si="17"/>
        <v xml:space="preserve"> </v>
      </c>
      <c r="B95" s="27"/>
      <c r="C95" s="35"/>
      <c r="D95" s="42" t="str">
        <f>IF(C95&lt;&gt;"",INDEX(Segédlet!$B$5:$B$37,MATCH(C95,Segédlet!$C$5:$C$37,0)),"")</f>
        <v/>
      </c>
      <c r="E95" s="36"/>
      <c r="F95" s="25"/>
      <c r="G95" s="22" t="str">
        <f t="shared" si="18"/>
        <v/>
      </c>
      <c r="H95" s="25" t="str">
        <f t="shared" si="19"/>
        <v/>
      </c>
      <c r="I95" s="25" t="str">
        <f t="shared" si="20"/>
        <v/>
      </c>
      <c r="J95" s="25" t="str">
        <f t="shared" si="21"/>
        <v/>
      </c>
      <c r="K95" s="28"/>
      <c r="L95" s="28" t="str">
        <f t="shared" si="22"/>
        <v/>
      </c>
      <c r="M95" s="37"/>
      <c r="N95" s="23" t="str">
        <f>IF(B95&lt;&gt;"",IF(AND(I95&gt;0,R95&gt;0),(K95+J95-I95)*VLOOKUP(M95,Segédlet!$G$5:$H$12,2,0),(K95+J95)*VLOOKUP(M95,Segédlet!$G$5:$H$12,2,0)),"")</f>
        <v/>
      </c>
      <c r="O95" s="23" t="str">
        <f>IF(B95&lt;&gt;"",IF(G95&lt;=14,G95*J95*VLOOKUP(C95,Segédlet!$C$5:$E$37,2,0),J95*14*VLOOKUP(C95,Segédlet!$C$5:$E$37,2,0)+(G95-14)*J95*VLOOKUP(C95,Segédlet!$C$5:$E$37,3,0)),"")</f>
        <v/>
      </c>
      <c r="P95" s="23" t="str">
        <f>IF(B95&lt;&gt;"",IF(G95&lt;=14,G95*K95*VLOOKUP(C95,Segédlet!$C$5:$E$37,2,0),K95*14*VLOOKUP(C95,Segédlet!$C$5:$E$37,2,0)+(G95-14)*K95*VLOOKUP(C95,Segédlet!$C$5:$E$37,3,0)),"")</f>
        <v/>
      </c>
      <c r="Q95" s="29" t="str">
        <f t="shared" si="23"/>
        <v/>
      </c>
      <c r="R95" s="29" t="str">
        <f t="shared" si="24"/>
        <v/>
      </c>
      <c r="S95" s="23" t="str">
        <f>IF(B95&lt;&gt;"",IF(OR(B95=Segédlet!$J$6,B95=Segédlet!$J$7),0,IF(AND(B95=Segédlet!$J$5,E95&lt;10),IF(E95&lt;10,E95*70*K95,"700"),IF(B95 &lt;&gt; Segédlet!$J$5,0,700*K95))),"")</f>
        <v/>
      </c>
      <c r="T95" s="43" t="str">
        <f t="shared" si="25"/>
        <v/>
      </c>
    </row>
    <row r="96" spans="1:20" s="24" customFormat="1" x14ac:dyDescent="0.2">
      <c r="A96" s="26" t="str">
        <f t="shared" si="17"/>
        <v xml:space="preserve"> </v>
      </c>
      <c r="B96" s="27"/>
      <c r="C96" s="35"/>
      <c r="D96" s="42" t="str">
        <f>IF(C96&lt;&gt;"",INDEX(Segédlet!$B$5:$B$37,MATCH(C96,Segédlet!$C$5:$C$37,0)),"")</f>
        <v/>
      </c>
      <c r="E96" s="36"/>
      <c r="F96" s="25"/>
      <c r="G96" s="22" t="str">
        <f t="shared" si="18"/>
        <v/>
      </c>
      <c r="H96" s="25" t="str">
        <f t="shared" si="19"/>
        <v/>
      </c>
      <c r="I96" s="25" t="str">
        <f t="shared" si="20"/>
        <v/>
      </c>
      <c r="J96" s="25" t="str">
        <f t="shared" si="21"/>
        <v/>
      </c>
      <c r="K96" s="28"/>
      <c r="L96" s="28" t="str">
        <f t="shared" si="22"/>
        <v/>
      </c>
      <c r="M96" s="37"/>
      <c r="N96" s="23" t="str">
        <f>IF(B96&lt;&gt;"",IF(AND(I96&gt;0,R96&gt;0),(K96+J96-I96)*VLOOKUP(M96,Segédlet!$G$5:$H$12,2,0),(K96+J96)*VLOOKUP(M96,Segédlet!$G$5:$H$12,2,0)),"")</f>
        <v/>
      </c>
      <c r="O96" s="23" t="str">
        <f>IF(B96&lt;&gt;"",IF(G96&lt;=14,G96*J96*VLOOKUP(C96,Segédlet!$C$5:$E$37,2,0),J96*14*VLOOKUP(C96,Segédlet!$C$5:$E$37,2,0)+(G96-14)*J96*VLOOKUP(C96,Segédlet!$C$5:$E$37,3,0)),"")</f>
        <v/>
      </c>
      <c r="P96" s="23" t="str">
        <f>IF(B96&lt;&gt;"",IF(G96&lt;=14,G96*K96*VLOOKUP(C96,Segédlet!$C$5:$E$37,2,0),K96*14*VLOOKUP(C96,Segédlet!$C$5:$E$37,2,0)+(G96-14)*K96*VLOOKUP(C96,Segédlet!$C$5:$E$37,3,0)),"")</f>
        <v/>
      </c>
      <c r="Q96" s="29" t="str">
        <f t="shared" si="23"/>
        <v/>
      </c>
      <c r="R96" s="29" t="str">
        <f t="shared" si="24"/>
        <v/>
      </c>
      <c r="S96" s="23" t="str">
        <f>IF(B96&lt;&gt;"",IF(OR(B96=Segédlet!$J$6,B96=Segédlet!$J$7),0,IF(AND(B96=Segédlet!$J$5,E96&lt;10),IF(E96&lt;10,E96*70*K96,"700"),IF(B96 &lt;&gt; Segédlet!$J$5,0,700*K96))),"")</f>
        <v/>
      </c>
      <c r="T96" s="43" t="str">
        <f t="shared" si="25"/>
        <v/>
      </c>
    </row>
    <row r="97" spans="1:20" s="24" customFormat="1" x14ac:dyDescent="0.2">
      <c r="A97" s="26" t="str">
        <f t="shared" si="17"/>
        <v xml:space="preserve"> </v>
      </c>
      <c r="B97" s="27"/>
      <c r="C97" s="35"/>
      <c r="D97" s="42" t="str">
        <f>IF(C97&lt;&gt;"",INDEX(Segédlet!$B$5:$B$37,MATCH(C97,Segédlet!$C$5:$C$37,0)),"")</f>
        <v/>
      </c>
      <c r="E97" s="36"/>
      <c r="F97" s="25"/>
      <c r="G97" s="22" t="str">
        <f t="shared" si="18"/>
        <v/>
      </c>
      <c r="H97" s="25" t="str">
        <f t="shared" si="19"/>
        <v/>
      </c>
      <c r="I97" s="25" t="str">
        <f t="shared" si="20"/>
        <v/>
      </c>
      <c r="J97" s="25" t="str">
        <f t="shared" si="21"/>
        <v/>
      </c>
      <c r="K97" s="28"/>
      <c r="L97" s="28" t="str">
        <f t="shared" si="22"/>
        <v/>
      </c>
      <c r="M97" s="37"/>
      <c r="N97" s="23" t="str">
        <f>IF(B97&lt;&gt;"",IF(AND(I97&gt;0,R97&gt;0),(K97+J97-I97)*VLOOKUP(M97,Segédlet!$G$5:$H$12,2,0),(K97+J97)*VLOOKUP(M97,Segédlet!$G$5:$H$12,2,0)),"")</f>
        <v/>
      </c>
      <c r="O97" s="23" t="str">
        <f>IF(B97&lt;&gt;"",IF(G97&lt;=14,G97*J97*VLOOKUP(C97,Segédlet!$C$5:$E$37,2,0),J97*14*VLOOKUP(C97,Segédlet!$C$5:$E$37,2,0)+(G97-14)*J97*VLOOKUP(C97,Segédlet!$C$5:$E$37,3,0)),"")</f>
        <v/>
      </c>
      <c r="P97" s="23" t="str">
        <f>IF(B97&lt;&gt;"",IF(G97&lt;=14,G97*K97*VLOOKUP(C97,Segédlet!$C$5:$E$37,2,0),K97*14*VLOOKUP(C97,Segédlet!$C$5:$E$37,2,0)+(G97-14)*K97*VLOOKUP(C97,Segédlet!$C$5:$E$37,3,0)),"")</f>
        <v/>
      </c>
      <c r="Q97" s="29" t="str">
        <f t="shared" si="23"/>
        <v/>
      </c>
      <c r="R97" s="29" t="str">
        <f t="shared" si="24"/>
        <v/>
      </c>
      <c r="S97" s="23" t="str">
        <f>IF(B97&lt;&gt;"",IF(OR(B97=Segédlet!$J$6,B97=Segédlet!$J$7),0,IF(AND(B97=Segédlet!$J$5,E97&lt;10),IF(E97&lt;10,E97*70*K97,"700"),IF(B97 &lt;&gt; Segédlet!$J$5,0,700*K97))),"")</f>
        <v/>
      </c>
      <c r="T97" s="43" t="str">
        <f t="shared" si="25"/>
        <v/>
      </c>
    </row>
    <row r="98" spans="1:20" s="24" customFormat="1" x14ac:dyDescent="0.2">
      <c r="A98" s="26" t="str">
        <f t="shared" si="17"/>
        <v xml:space="preserve"> </v>
      </c>
      <c r="B98" s="27"/>
      <c r="C98" s="35"/>
      <c r="D98" s="42" t="str">
        <f>IF(C98&lt;&gt;"",INDEX(Segédlet!$B$5:$B$37,MATCH(C98,Segédlet!$C$5:$C$37,0)),"")</f>
        <v/>
      </c>
      <c r="E98" s="36"/>
      <c r="F98" s="25"/>
      <c r="G98" s="22" t="str">
        <f t="shared" si="18"/>
        <v/>
      </c>
      <c r="H98" s="25" t="str">
        <f t="shared" si="19"/>
        <v/>
      </c>
      <c r="I98" s="25" t="str">
        <f t="shared" si="20"/>
        <v/>
      </c>
      <c r="J98" s="25" t="str">
        <f t="shared" si="21"/>
        <v/>
      </c>
      <c r="K98" s="28"/>
      <c r="L98" s="28" t="str">
        <f t="shared" si="22"/>
        <v/>
      </c>
      <c r="M98" s="37"/>
      <c r="N98" s="23" t="str">
        <f>IF(B98&lt;&gt;"",IF(AND(I98&gt;0,R98&gt;0),(K98+J98-I98)*VLOOKUP(M98,Segédlet!$G$5:$H$12,2,0),(K98+J98)*VLOOKUP(M98,Segédlet!$G$5:$H$12,2,0)),"")</f>
        <v/>
      </c>
      <c r="O98" s="23" t="str">
        <f>IF(B98&lt;&gt;"",IF(G98&lt;=14,G98*J98*VLOOKUP(C98,Segédlet!$C$5:$E$37,2,0),J98*14*VLOOKUP(C98,Segédlet!$C$5:$E$37,2,0)+(G98-14)*J98*VLOOKUP(C98,Segédlet!$C$5:$E$37,3,0)),"")</f>
        <v/>
      </c>
      <c r="P98" s="23" t="str">
        <f>IF(B98&lt;&gt;"",IF(G98&lt;=14,G98*K98*VLOOKUP(C98,Segédlet!$C$5:$E$37,2,0),K98*14*VLOOKUP(C98,Segédlet!$C$5:$E$37,2,0)+(G98-14)*K98*VLOOKUP(C98,Segédlet!$C$5:$E$37,3,0)),"")</f>
        <v/>
      </c>
      <c r="Q98" s="29" t="str">
        <f t="shared" si="23"/>
        <v/>
      </c>
      <c r="R98" s="29" t="str">
        <f t="shared" si="24"/>
        <v/>
      </c>
      <c r="S98" s="23" t="str">
        <f>IF(B98&lt;&gt;"",IF(OR(B98=Segédlet!$J$6,B98=Segédlet!$J$7),0,IF(AND(B98=Segédlet!$J$5,E98&lt;10),IF(E98&lt;10,E98*70*K98,"700"),IF(B98 &lt;&gt; Segédlet!$J$5,0,700*K98))),"")</f>
        <v/>
      </c>
      <c r="T98" s="43" t="str">
        <f t="shared" si="25"/>
        <v/>
      </c>
    </row>
    <row r="99" spans="1:20" s="24" customFormat="1" x14ac:dyDescent="0.2">
      <c r="A99" s="26" t="str">
        <f t="shared" si="17"/>
        <v xml:space="preserve"> </v>
      </c>
      <c r="B99" s="27"/>
      <c r="C99" s="35"/>
      <c r="D99" s="42" t="str">
        <f>IF(C99&lt;&gt;"",INDEX(Segédlet!$B$5:$B$37,MATCH(C99,Segédlet!$C$5:$C$37,0)),"")</f>
        <v/>
      </c>
      <c r="E99" s="36"/>
      <c r="F99" s="25"/>
      <c r="G99" s="22" t="str">
        <f t="shared" si="18"/>
        <v/>
      </c>
      <c r="H99" s="25" t="str">
        <f t="shared" si="19"/>
        <v/>
      </c>
      <c r="I99" s="25" t="str">
        <f t="shared" si="20"/>
        <v/>
      </c>
      <c r="J99" s="25" t="str">
        <f t="shared" si="21"/>
        <v/>
      </c>
      <c r="K99" s="28"/>
      <c r="L99" s="28" t="str">
        <f t="shared" si="22"/>
        <v/>
      </c>
      <c r="M99" s="37"/>
      <c r="N99" s="23" t="str">
        <f>IF(B99&lt;&gt;"",IF(AND(I99&gt;0,R99&gt;0),(K99+J99-I99)*VLOOKUP(M99,Segédlet!$G$5:$H$12,2,0),(K99+J99)*VLOOKUP(M99,Segédlet!$G$5:$H$12,2,0)),"")</f>
        <v/>
      </c>
      <c r="O99" s="23" t="str">
        <f>IF(B99&lt;&gt;"",IF(G99&lt;=14,G99*J99*VLOOKUP(C99,Segédlet!$C$5:$E$37,2,0),J99*14*VLOOKUP(C99,Segédlet!$C$5:$E$37,2,0)+(G99-14)*J99*VLOOKUP(C99,Segédlet!$C$5:$E$37,3,0)),"")</f>
        <v/>
      </c>
      <c r="P99" s="23" t="str">
        <f>IF(B99&lt;&gt;"",IF(G99&lt;=14,G99*K99*VLOOKUP(C99,Segédlet!$C$5:$E$37,2,0),K99*14*VLOOKUP(C99,Segédlet!$C$5:$E$37,2,0)+(G99-14)*K99*VLOOKUP(C99,Segédlet!$C$5:$E$37,3,0)),"")</f>
        <v/>
      </c>
      <c r="Q99" s="29" t="str">
        <f t="shared" si="23"/>
        <v/>
      </c>
      <c r="R99" s="29" t="str">
        <f t="shared" si="24"/>
        <v/>
      </c>
      <c r="S99" s="23" t="str">
        <f>IF(B99&lt;&gt;"",IF(OR(B99=Segédlet!$J$6,B99=Segédlet!$J$7),0,IF(AND(B99=Segédlet!$J$5,E99&lt;10),IF(E99&lt;10,E99*70*K99,"700"),IF(B99 &lt;&gt; Segédlet!$J$5,0,700*K99))),"")</f>
        <v/>
      </c>
      <c r="T99" s="43" t="str">
        <f t="shared" si="25"/>
        <v/>
      </c>
    </row>
    <row r="100" spans="1:20" s="24" customFormat="1" x14ac:dyDescent="0.2">
      <c r="A100" s="26" t="str">
        <f t="shared" si="17"/>
        <v xml:space="preserve"> </v>
      </c>
      <c r="B100" s="27"/>
      <c r="C100" s="35"/>
      <c r="D100" s="42" t="str">
        <f>IF(C100&lt;&gt;"",INDEX(Segédlet!$B$5:$B$37,MATCH(C100,Segédlet!$C$5:$C$37,0)),"")</f>
        <v/>
      </c>
      <c r="E100" s="36"/>
      <c r="F100" s="25"/>
      <c r="G100" s="22" t="str">
        <f t="shared" si="18"/>
        <v/>
      </c>
      <c r="H100" s="25" t="str">
        <f t="shared" si="19"/>
        <v/>
      </c>
      <c r="I100" s="25" t="str">
        <f t="shared" si="20"/>
        <v/>
      </c>
      <c r="J100" s="25" t="str">
        <f t="shared" si="21"/>
        <v/>
      </c>
      <c r="K100" s="28"/>
      <c r="L100" s="28" t="str">
        <f t="shared" si="22"/>
        <v/>
      </c>
      <c r="M100" s="37"/>
      <c r="N100" s="23" t="str">
        <f>IF(B100&lt;&gt;"",IF(AND(I100&gt;0,R100&gt;0),(K100+J100-I100)*VLOOKUP(M100,Segédlet!$G$5:$H$12,2,0),(K100+J100)*VLOOKUP(M100,Segédlet!$G$5:$H$12,2,0)),"")</f>
        <v/>
      </c>
      <c r="O100" s="23" t="str">
        <f>IF(B100&lt;&gt;"",IF(G100&lt;=14,G100*J100*VLOOKUP(C100,Segédlet!$C$5:$E$37,2,0),J100*14*VLOOKUP(C100,Segédlet!$C$5:$E$37,2,0)+(G100-14)*J100*VLOOKUP(C100,Segédlet!$C$5:$E$37,3,0)),"")</f>
        <v/>
      </c>
      <c r="P100" s="23" t="str">
        <f>IF(B100&lt;&gt;"",IF(G100&lt;=14,G100*K100*VLOOKUP(C100,Segédlet!$C$5:$E$37,2,0),K100*14*VLOOKUP(C100,Segédlet!$C$5:$E$37,2,0)+(G100-14)*K100*VLOOKUP(C100,Segédlet!$C$5:$E$37,3,0)),"")</f>
        <v/>
      </c>
      <c r="Q100" s="29" t="str">
        <f t="shared" si="23"/>
        <v/>
      </c>
      <c r="R100" s="29" t="str">
        <f t="shared" si="24"/>
        <v/>
      </c>
      <c r="S100" s="23" t="str">
        <f>IF(B100&lt;&gt;"",IF(OR(B100=Segédlet!$J$6,B100=Segédlet!$J$7),0,IF(AND(B100=Segédlet!$J$5,E100&lt;10),IF(E100&lt;10,E100*70*K100,"700"),IF(B100 &lt;&gt; Segédlet!$J$5,0,700*K100))),"")</f>
        <v/>
      </c>
      <c r="T100" s="43" t="str">
        <f t="shared" si="25"/>
        <v/>
      </c>
    </row>
    <row r="101" spans="1:20" x14ac:dyDescent="0.2">
      <c r="A101" s="26" t="str">
        <f t="shared" si="17"/>
        <v xml:space="preserve"> </v>
      </c>
      <c r="B101" s="27"/>
      <c r="C101" s="35"/>
      <c r="D101" s="42" t="str">
        <f>IF(C101&lt;&gt;"",INDEX(Segédlet!$B$5:$B$37,MATCH(C101,Segédlet!$C$5:$C$37,0)),"")</f>
        <v/>
      </c>
      <c r="E101" s="36"/>
      <c r="F101" s="25"/>
      <c r="G101" s="22" t="str">
        <f t="shared" si="18"/>
        <v/>
      </c>
      <c r="H101" s="25" t="str">
        <f t="shared" si="19"/>
        <v/>
      </c>
      <c r="I101" s="25" t="str">
        <f t="shared" si="20"/>
        <v/>
      </c>
      <c r="J101" s="25" t="str">
        <f t="shared" si="21"/>
        <v/>
      </c>
      <c r="K101" s="28"/>
      <c r="L101" s="28" t="str">
        <f t="shared" si="22"/>
        <v/>
      </c>
      <c r="M101" s="37"/>
      <c r="N101" s="23" t="str">
        <f>IF(B101&lt;&gt;"",IF(AND(I101&gt;0,R101&gt;0),(K101+J101-I101)*VLOOKUP(M101,Segédlet!$G$5:$H$12,2,0),(K101+J101)*VLOOKUP(M101,Segédlet!$G$5:$H$12,2,0)),"")</f>
        <v/>
      </c>
      <c r="O101" s="23" t="str">
        <f>IF(B101&lt;&gt;"",IF(G101&lt;=14,G101*J101*VLOOKUP(C101,Segédlet!$C$5:$E$37,2,0),J101*14*VLOOKUP(C101,Segédlet!$C$5:$E$37,2,0)+(G101-14)*J101*VLOOKUP(C101,Segédlet!$C$5:$E$37,3,0)),"")</f>
        <v/>
      </c>
      <c r="P101" s="23" t="str">
        <f>IF(B101&lt;&gt;"",IF(G101&lt;=14,G101*K101*VLOOKUP(C101,Segédlet!$C$5:$E$37,2,0),K101*14*VLOOKUP(C101,Segédlet!$C$5:$E$37,2,0)+(G101-14)*K101*VLOOKUP(C101,Segédlet!$C$5:$E$37,3,0)),"")</f>
        <v/>
      </c>
      <c r="Q101" s="29" t="str">
        <f t="shared" si="23"/>
        <v/>
      </c>
      <c r="R101" s="29" t="str">
        <f t="shared" si="24"/>
        <v/>
      </c>
      <c r="S101" s="23" t="str">
        <f>IF(B101&lt;&gt;"",IF(OR(B101=Segédlet!$J$6,B101=Segédlet!$J$7),0,IF(AND(B101=Segédlet!$J$5,E101&lt;10),IF(E101&lt;10,E101*70*K101,"700"),IF(B101 &lt;&gt; Segédlet!$J$5,0,700*K101))),"")</f>
        <v/>
      </c>
      <c r="T101" s="43" t="str">
        <f t="shared" si="25"/>
        <v/>
      </c>
    </row>
    <row r="102" spans="1:20" x14ac:dyDescent="0.2">
      <c r="A102" s="26" t="str">
        <f t="shared" si="17"/>
        <v xml:space="preserve"> </v>
      </c>
      <c r="B102" s="27"/>
      <c r="C102" s="35"/>
      <c r="D102" s="42" t="str">
        <f>IF(C102&lt;&gt;"",INDEX(Segédlet!$B$5:$B$37,MATCH(C102,Segédlet!$C$5:$C$37,0)),"")</f>
        <v/>
      </c>
      <c r="E102" s="36"/>
      <c r="F102" s="25"/>
      <c r="G102" s="22" t="str">
        <f t="shared" si="18"/>
        <v/>
      </c>
      <c r="H102" s="25" t="str">
        <f t="shared" si="19"/>
        <v/>
      </c>
      <c r="I102" s="25" t="str">
        <f t="shared" si="20"/>
        <v/>
      </c>
      <c r="J102" s="25" t="str">
        <f t="shared" si="21"/>
        <v/>
      </c>
      <c r="K102" s="28"/>
      <c r="L102" s="28" t="str">
        <f t="shared" si="22"/>
        <v/>
      </c>
      <c r="M102" s="37"/>
      <c r="N102" s="23" t="str">
        <f>IF(B102&lt;&gt;"",IF(AND(I102&gt;0,R102&gt;0),(K102+J102-I102)*VLOOKUP(M102,Segédlet!$G$5:$H$12,2,0),(K102+J102)*VLOOKUP(M102,Segédlet!$G$5:$H$12,2,0)),"")</f>
        <v/>
      </c>
      <c r="O102" s="23" t="str">
        <f>IF(B102&lt;&gt;"",IF(G102&lt;=14,G102*J102*VLOOKUP(C102,Segédlet!$C$5:$E$37,2,0),J102*14*VLOOKUP(C102,Segédlet!$C$5:$E$37,2,0)+(G102-14)*J102*VLOOKUP(C102,Segédlet!$C$5:$E$37,3,0)),"")</f>
        <v/>
      </c>
      <c r="P102" s="23" t="str">
        <f>IF(B102&lt;&gt;"",IF(G102&lt;=14,G102*K102*VLOOKUP(C102,Segédlet!$C$5:$E$37,2,0),K102*14*VLOOKUP(C102,Segédlet!$C$5:$E$37,2,0)+(G102-14)*K102*VLOOKUP(C102,Segédlet!$C$5:$E$37,3,0)),"")</f>
        <v/>
      </c>
      <c r="Q102" s="29" t="str">
        <f t="shared" si="23"/>
        <v/>
      </c>
      <c r="R102" s="29" t="str">
        <f t="shared" si="24"/>
        <v/>
      </c>
      <c r="S102" s="23" t="str">
        <f>IF(B102&lt;&gt;"",IF(OR(B102=Segédlet!$J$6,B102=Segédlet!$J$7),0,IF(AND(B102=Segédlet!$J$5,E102&lt;10),IF(E102&lt;10,E102*70*K102,"700"),IF(B102 &lt;&gt; Segédlet!$J$5,0,700*K102))),"")</f>
        <v/>
      </c>
      <c r="T102" s="43" t="str">
        <f t="shared" si="25"/>
        <v/>
      </c>
    </row>
    <row r="103" spans="1:20" x14ac:dyDescent="0.2">
      <c r="A103" s="26" t="str">
        <f t="shared" si="17"/>
        <v xml:space="preserve"> </v>
      </c>
      <c r="B103" s="27"/>
      <c r="C103" s="35"/>
      <c r="D103" s="42" t="str">
        <f>IF(C103&lt;&gt;"",INDEX(Segédlet!$B$5:$B$37,MATCH(C103,Segédlet!$C$5:$C$37,0)),"")</f>
        <v/>
      </c>
      <c r="E103" s="36"/>
      <c r="F103" s="25"/>
      <c r="G103" s="22" t="str">
        <f t="shared" si="18"/>
        <v/>
      </c>
      <c r="H103" s="25" t="str">
        <f t="shared" si="19"/>
        <v/>
      </c>
      <c r="I103" s="25" t="str">
        <f t="shared" si="20"/>
        <v/>
      </c>
      <c r="J103" s="25" t="str">
        <f t="shared" si="21"/>
        <v/>
      </c>
      <c r="K103" s="28"/>
      <c r="L103" s="28" t="str">
        <f t="shared" si="22"/>
        <v/>
      </c>
      <c r="M103" s="37"/>
      <c r="N103" s="23" t="str">
        <f>IF(B103&lt;&gt;"",IF(AND(I103&gt;0,R103&gt;0),(K103+J103-I103)*VLOOKUP(M103,Segédlet!$G$5:$H$12,2,0),(K103+J103)*VLOOKUP(M103,Segédlet!$G$5:$H$12,2,0)),"")</f>
        <v/>
      </c>
      <c r="O103" s="23" t="str">
        <f>IF(B103&lt;&gt;"",IF(G103&lt;=14,G103*J103*VLOOKUP(C103,Segédlet!$C$5:$E$37,2,0),J103*14*VLOOKUP(C103,Segédlet!$C$5:$E$37,2,0)+(G103-14)*J103*VLOOKUP(C103,Segédlet!$C$5:$E$37,3,0)),"")</f>
        <v/>
      </c>
      <c r="P103" s="23" t="str">
        <f>IF(B103&lt;&gt;"",IF(G103&lt;=14,G103*K103*VLOOKUP(C103,Segédlet!$C$5:$E$37,2,0),K103*14*VLOOKUP(C103,Segédlet!$C$5:$E$37,2,0)+(G103-14)*K103*VLOOKUP(C103,Segédlet!$C$5:$E$37,3,0)),"")</f>
        <v/>
      </c>
      <c r="Q103" s="29" t="str">
        <f t="shared" si="23"/>
        <v/>
      </c>
      <c r="R103" s="29" t="str">
        <f t="shared" si="24"/>
        <v/>
      </c>
      <c r="S103" s="23" t="str">
        <f>IF(B103&lt;&gt;"",IF(OR(B103=Segédlet!$J$6,B103=Segédlet!$J$7),0,IF(AND(B103=Segédlet!$J$5,E103&lt;10),IF(E103&lt;10,E103*70*K103,"700"),IF(B103 &lt;&gt; Segédlet!$J$5,0,700*K103))),"")</f>
        <v/>
      </c>
      <c r="T103" s="43" t="str">
        <f t="shared" si="25"/>
        <v/>
      </c>
    </row>
    <row r="104" spans="1:20" x14ac:dyDescent="0.2">
      <c r="A104" s="26" t="str">
        <f t="shared" si="17"/>
        <v xml:space="preserve"> </v>
      </c>
      <c r="B104" s="27"/>
      <c r="C104" s="35"/>
      <c r="D104" s="42" t="str">
        <f>IF(C104&lt;&gt;"",INDEX(Segédlet!$B$5:$B$37,MATCH(C104,Segédlet!$C$5:$C$37,0)),"")</f>
        <v/>
      </c>
      <c r="E104" s="36"/>
      <c r="F104" s="25"/>
      <c r="G104" s="22" t="str">
        <f t="shared" si="18"/>
        <v/>
      </c>
      <c r="H104" s="25" t="str">
        <f t="shared" si="19"/>
        <v/>
      </c>
      <c r="I104" s="25" t="str">
        <f t="shared" si="20"/>
        <v/>
      </c>
      <c r="J104" s="25" t="str">
        <f t="shared" si="21"/>
        <v/>
      </c>
      <c r="K104" s="28"/>
      <c r="L104" s="28" t="str">
        <f t="shared" si="22"/>
        <v/>
      </c>
      <c r="M104" s="37"/>
      <c r="N104" s="23" t="str">
        <f>IF(B104&lt;&gt;"",IF(AND(I104&gt;0,R104&gt;0),(K104+J104-I104)*VLOOKUP(M104,Segédlet!$G$5:$H$12,2,0),(K104+J104)*VLOOKUP(M104,Segédlet!$G$5:$H$12,2,0)),"")</f>
        <v/>
      </c>
      <c r="O104" s="23" t="str">
        <f>IF(B104&lt;&gt;"",IF(G104&lt;=14,G104*J104*VLOOKUP(C104,Segédlet!$C$5:$E$37,2,0),J104*14*VLOOKUP(C104,Segédlet!$C$5:$E$37,2,0)+(G104-14)*J104*VLOOKUP(C104,Segédlet!$C$5:$E$37,3,0)),"")</f>
        <v/>
      </c>
      <c r="P104" s="23" t="str">
        <f>IF(B104&lt;&gt;"",IF(G104&lt;=14,G104*K104*VLOOKUP(C104,Segédlet!$C$5:$E$37,2,0),K104*14*VLOOKUP(C104,Segédlet!$C$5:$E$37,2,0)+(G104-14)*K104*VLOOKUP(C104,Segédlet!$C$5:$E$37,3,0)),"")</f>
        <v/>
      </c>
      <c r="Q104" s="29" t="str">
        <f t="shared" si="23"/>
        <v/>
      </c>
      <c r="R104" s="29" t="str">
        <f t="shared" si="24"/>
        <v/>
      </c>
      <c r="S104" s="23" t="str">
        <f>IF(B104&lt;&gt;"",IF(OR(B104=Segédlet!$J$6,B104=Segédlet!$J$7),0,IF(AND(B104=Segédlet!$J$5,E104&lt;10),IF(E104&lt;10,E104*70*K104,"700"),IF(B104 &lt;&gt; Segédlet!$J$5,0,700*K104))),"")</f>
        <v/>
      </c>
      <c r="T104" s="43" t="str">
        <f t="shared" si="25"/>
        <v/>
      </c>
    </row>
    <row r="105" spans="1:20" x14ac:dyDescent="0.2">
      <c r="A105" s="26" t="str">
        <f t="shared" si="17"/>
        <v xml:space="preserve"> </v>
      </c>
      <c r="B105" s="27"/>
      <c r="C105" s="35"/>
      <c r="D105" s="42" t="str">
        <f>IF(C105&lt;&gt;"",INDEX(Segédlet!$B$5:$B$37,MATCH(C105,Segédlet!$C$5:$C$37,0)),"")</f>
        <v/>
      </c>
      <c r="E105" s="36"/>
      <c r="F105" s="25"/>
      <c r="G105" s="22" t="str">
        <f t="shared" si="18"/>
        <v/>
      </c>
      <c r="H105" s="25" t="str">
        <f t="shared" si="19"/>
        <v/>
      </c>
      <c r="I105" s="25" t="str">
        <f t="shared" si="20"/>
        <v/>
      </c>
      <c r="J105" s="25" t="str">
        <f t="shared" si="21"/>
        <v/>
      </c>
      <c r="K105" s="28"/>
      <c r="L105" s="28" t="str">
        <f t="shared" si="22"/>
        <v/>
      </c>
      <c r="M105" s="37"/>
      <c r="N105" s="23" t="str">
        <f>IF(B105&lt;&gt;"",IF(AND(I105&gt;0,R105&gt;0),(K105+J105-I105)*VLOOKUP(M105,Segédlet!$G$5:$H$12,2,0),(K105+J105)*VLOOKUP(M105,Segédlet!$G$5:$H$12,2,0)),"")</f>
        <v/>
      </c>
      <c r="O105" s="23" t="str">
        <f>IF(B105&lt;&gt;"",IF(G105&lt;=14,G105*J105*VLOOKUP(C105,Segédlet!$C$5:$E$37,2,0),J105*14*VLOOKUP(C105,Segédlet!$C$5:$E$37,2,0)+(G105-14)*J105*VLOOKUP(C105,Segédlet!$C$5:$E$37,3,0)),"")</f>
        <v/>
      </c>
      <c r="P105" s="23" t="str">
        <f>IF(B105&lt;&gt;"",IF(G105&lt;=14,G105*K105*VLOOKUP(C105,Segédlet!$C$5:$E$37,2,0),K105*14*VLOOKUP(C105,Segédlet!$C$5:$E$37,2,0)+(G105-14)*K105*VLOOKUP(C105,Segédlet!$C$5:$E$37,3,0)),"")</f>
        <v/>
      </c>
      <c r="Q105" s="29" t="str">
        <f t="shared" si="23"/>
        <v/>
      </c>
      <c r="R105" s="29" t="str">
        <f t="shared" si="24"/>
        <v/>
      </c>
      <c r="S105" s="23" t="str">
        <f>IF(B105&lt;&gt;"",IF(OR(B105=Segédlet!$J$6,B105=Segédlet!$J$7),0,IF(AND(B105=Segédlet!$J$5,E105&lt;10),IF(E105&lt;10,E105*70*K105,"700"),IF(B105 &lt;&gt; Segédlet!$J$5,0,700*K105))),"")</f>
        <v/>
      </c>
      <c r="T105" s="43" t="str">
        <f t="shared" si="25"/>
        <v/>
      </c>
    </row>
    <row r="106" spans="1:20" x14ac:dyDescent="0.2">
      <c r="A106" s="26" t="str">
        <f t="shared" si="17"/>
        <v xml:space="preserve"> </v>
      </c>
      <c r="B106" s="27"/>
      <c r="C106" s="35"/>
      <c r="D106" s="42" t="str">
        <f>IF(C106&lt;&gt;"",INDEX(Segédlet!$B$5:$B$37,MATCH(C106,Segédlet!$C$5:$C$37,0)),"")</f>
        <v/>
      </c>
      <c r="E106" s="36"/>
      <c r="F106" s="25"/>
      <c r="G106" s="22" t="str">
        <f t="shared" si="18"/>
        <v/>
      </c>
      <c r="H106" s="25" t="str">
        <f t="shared" si="19"/>
        <v/>
      </c>
      <c r="I106" s="25" t="str">
        <f t="shared" si="20"/>
        <v/>
      </c>
      <c r="J106" s="25" t="str">
        <f t="shared" si="21"/>
        <v/>
      </c>
      <c r="K106" s="28"/>
      <c r="L106" s="28" t="str">
        <f t="shared" si="22"/>
        <v/>
      </c>
      <c r="M106" s="37"/>
      <c r="N106" s="23" t="str">
        <f>IF(B106&lt;&gt;"",IF(AND(I106&gt;0,R106&gt;0),(K106+J106-I106)*VLOOKUP(M106,Segédlet!$G$5:$H$12,2,0),(K106+J106)*VLOOKUP(M106,Segédlet!$G$5:$H$12,2,0)),"")</f>
        <v/>
      </c>
      <c r="O106" s="23" t="str">
        <f>IF(B106&lt;&gt;"",IF(G106&lt;=14,G106*J106*VLOOKUP(C106,Segédlet!$C$5:$E$37,2,0),J106*14*VLOOKUP(C106,Segédlet!$C$5:$E$37,2,0)+(G106-14)*J106*VLOOKUP(C106,Segédlet!$C$5:$E$37,3,0)),"")</f>
        <v/>
      </c>
      <c r="P106" s="23" t="str">
        <f>IF(B106&lt;&gt;"",IF(G106&lt;=14,G106*K106*VLOOKUP(C106,Segédlet!$C$5:$E$37,2,0),K106*14*VLOOKUP(C106,Segédlet!$C$5:$E$37,2,0)+(G106-14)*K106*VLOOKUP(C106,Segédlet!$C$5:$E$37,3,0)),"")</f>
        <v/>
      </c>
      <c r="Q106" s="29" t="str">
        <f t="shared" si="23"/>
        <v/>
      </c>
      <c r="R106" s="29" t="str">
        <f t="shared" si="24"/>
        <v/>
      </c>
      <c r="S106" s="23" t="str">
        <f>IF(B106&lt;&gt;"",IF(OR(B106=Segédlet!$J$6,B106=Segédlet!$J$7),0,IF(AND(B106=Segédlet!$J$5,E106&lt;10),IF(E106&lt;10,E106*70*K106,"700"),IF(B106 &lt;&gt; Segédlet!$J$5,0,700*K106))),"")</f>
        <v/>
      </c>
      <c r="T106" s="43" t="str">
        <f t="shared" si="25"/>
        <v/>
      </c>
    </row>
    <row r="115" ht="15.75" customHeight="1" x14ac:dyDescent="0.2"/>
    <row r="116" ht="15.75" customHeight="1" x14ac:dyDescent="0.2"/>
  </sheetData>
  <sheetProtection algorithmName="SHA-512" hashValue="K8t0fDVkifIYr3KzM0zjasyveJoSJKHMzlzPFpbuOUMjJrvZFxqvoqaUIzPzt+bLbdrFlFIo+TiT0gphmCbjwA==" saltValue="qvwAH0PVrOlcqRaCvvcYVw==" spinCount="100000" sheet="1" objects="1" scenarios="1"/>
  <mergeCells count="3">
    <mergeCell ref="E2:P4"/>
    <mergeCell ref="A1:S1"/>
    <mergeCell ref="A2:D4"/>
  </mergeCells>
  <conditionalFormatting sqref="R7:R106">
    <cfRule type="expression" dxfId="9" priority="8">
      <formula>AND(I7&lt;&gt;"",I7&gt;0)</formula>
    </cfRule>
  </conditionalFormatting>
  <conditionalFormatting sqref="T1:XFD1 A1:A2 E2:XFD4 A5:XFD1048576">
    <cfRule type="notContainsBlanks" dxfId="8" priority="18">
      <formula>LEN(TRIM(A1))&gt;0</formula>
    </cfRule>
  </conditionalFormatting>
  <conditionalFormatting sqref="I7:I106">
    <cfRule type="expression" dxfId="7" priority="3">
      <formula>AND(I7&lt;&gt;"",I7&gt;0)</formula>
    </cfRule>
  </conditionalFormatting>
  <conditionalFormatting sqref="H7:H106">
    <cfRule type="expression" dxfId="6" priority="2">
      <formula>AND(H7&lt;&gt;"",H7&gt;0)</formula>
    </cfRule>
  </conditionalFormatting>
  <conditionalFormatting sqref="Q7:Q106">
    <cfRule type="expression" dxfId="5" priority="1">
      <formula>AND(H7&lt;&gt;"",H7&gt;0)</formula>
    </cfRule>
  </conditionalFormatting>
  <dataValidations xWindow="644" yWindow="420" count="9">
    <dataValidation type="custom" showInputMessage="1" showErrorMessage="1" error="Kérem, olyan egész számot adjon meg, ami nem nagyobb, mint a Résztvevők száma összesen!_x000a_Amennyiben a Rendkívüli támogatást igénylő résztvevők száma 0, nem igényelhető 'Rendkívüli támogatás'!" prompt="Nem lehet több, mint a &quot;Résztvevők száma összesen&quot;!_x000a_Kérem, ebbe a mezőbe kizárólag nullát, vagy annál nagyobb egész számot írjon be!" sqref="I7:I106">
      <formula1>IF(R7&gt;0,I7&gt;0,I7&lt;=K7)</formula1>
    </dataValidation>
    <dataValidation type="whole" operator="greaterThanOrEqual" showInputMessage="1" showErrorMessage="1" error="Kérem, ide nem negatív egész számot írjon be!" prompt="Akik más forrásból kapnak utazási, egyéni támogatást és kurzusdíjat! Az intézményük szervezési támogatást kaphat ezekhez a résztvevőkhöz!" sqref="L7:L106">
      <formula1>0</formula1>
    </dataValidation>
    <dataValidation type="custom" operator="greaterThanOrEqual" allowBlank="1" showInputMessage="1" showErrorMessage="1" error="Ha a rendkívüli támogatást igénylő résztvevők (magas utazási költség) száma 0, akkor a támogatás összege nem lehet több, mint 0!" prompt="Kérem, az adott mobilitás(ok)hoz tartozó teljes utazási támogatást itt adja meg! _x000a_Magas utazási költség esetén igényelhető támogatási összeg, amennyiben az_x000a_adható utazási támogatás (átalány) nem fedezi az utazás költségeit!" sqref="R7:R106">
      <formula1>IF(I7=0,R7=0,R7&gt;0)</formula1>
    </dataValidation>
    <dataValidation type="whole" showInputMessage="1" showErrorMessage="1" error="Kérem, 2 és 60 közötti egész számot írjon ide!" prompt="min. 2, max. 60 nap" sqref="E7:E106">
      <formula1>2</formula1>
      <formula2>60</formula2>
    </dataValidation>
    <dataValidation type="whole" showInputMessage="1" showErrorMessage="1" error="Kérem, 0 és 2 közötti egész számot adjon meg!" prompt="max. 2 nap" sqref="F7:F106">
      <formula1>0</formula1>
      <formula2>2</formula2>
    </dataValidation>
    <dataValidation type="custom" showInputMessage="1" showErrorMessage="1" error="Kérem, olyan egész számot adjon meg, ami nem több, mint a Résztvevők száma összesen!_x000a_Amennyiben a Spec.igényű résztvevők száma 0, nem igényelhető 'Speciális támogatás'!" prompt="Nem lehet több, mint a &quot;Résztvevők száma összesen&quot;!_x000a_Kérem, ebbe a mezőbe kizárólag nullát, vagy annál nagyobb egész számot írjon be!" sqref="H7:H106">
      <formula1>IF(Q7&gt;0,H7&gt;0,H7&lt;=K7)</formula1>
    </dataValidation>
    <dataValidation type="whole" showInputMessage="1" showErrorMessage="1" error="Kísérő személyek száma 0, vagy annál több egész szám lehet, de nem lehet több, mint a 'Résztvevők száma összesen'!" prompt="Nem lehet több, mint a 'Résztvevők száma összesen'!_x000a_Kérem, ebbe a mezőbe kizárólag nullát, vagy annál nagyobb egész számot írjon be!" sqref="J7:J106">
      <formula1>0</formula1>
      <formula2>K7</formula2>
    </dataValidation>
    <dataValidation type="custom" showInputMessage="1" showErrorMessage="1" error="Kérem, 0-nál nagyobb egész számot adjon meg! A beírt számnak nagyobbnak, v. egyenlőnek kell lennie a Spec.igényű/Rendkívüli támogatást kérő résztvevők számánál, valamint nem lehet kisebb a kísérő személyek számánál!" prompt="Kérem, 0-nál nagyobb egész számot adjon meg! _x000a_A beírt számnak nagyobbnak, vagy egyenlőnek kell lennie a Spec.igényű/Rendkívüli támogatást kérő résztvevők számánál, valamint nem lehet kisebb a kísérő személyek számánál!" sqref="K7:K106">
      <formula1>AND(K7&gt;0,H7&lt;=K7,I7&lt;=K7,J7&lt;=K7)</formula1>
    </dataValidation>
    <dataValidation type="custom" operator="greaterThanOrEqual" showInputMessage="1" showErrorMessage="1" error="Ha a speciális igényű résztvevők száma 0, akkor a támogatás összege nem lehet több, mint 0!" sqref="Q7:Q106">
      <formula1>IF(H7=0,Q7=0,Q7&gt;0)</formula1>
    </dataValidation>
  </dataValidations>
  <hyperlinks>
    <hyperlink ref="M6" r:id="rId1"/>
  </hyperlinks>
  <printOptions horizontalCentered="1"/>
  <pageMargins left="0.19685039370078741" right="0.19685039370078741" top="0.59055118110236227" bottom="0.59055118110236227" header="0" footer="0"/>
  <pageSetup paperSize="9" scale="53" fitToHeight="0" orientation="landscape" r:id="rId2"/>
  <ignoredErrors>
    <ignoredError sqref="H111:H112 F107:F108 H107:K110 P107:R110 M107:N110 R7 H8:R106 H7:Q7" unlockedFormula="1"/>
  </ignoredErrors>
  <legacyDrawing r:id="rId3"/>
  <extLst>
    <ext xmlns:x14="http://schemas.microsoft.com/office/spreadsheetml/2009/9/main" uri="{CCE6A557-97BC-4b89-ADB6-D9C93CAAB3DF}">
      <x14:dataValidations xmlns:xm="http://schemas.microsoft.com/office/excel/2006/main" xWindow="644" yWindow="420" count="3">
        <x14:dataValidation type="list" showInputMessage="1" showErrorMessage="1" error="Kérem, a listából válasszon tevékenységet!" prompt="Kérem, a legördülő listából válassza ki a mobilitáshoz kapcsolódó tevékenységet! (cella jobb oldala lent - kis négyzetben lévő fekete nyílra kattintva)">
          <x14:formula1>
            <xm:f>Segédlet!$J$5:$J$7</xm:f>
          </x14:formula1>
          <xm:sqref>B7:B106</xm:sqref>
        </x14:dataValidation>
        <x14:dataValidation type="list" showInputMessage="1" showErrorMessage="1" errorTitle="Hiba a célországnál" error="Kérem, válasszon a listából!" prompt="Kérem, válassza ki a listából a mobilitáshoz tartozó célországot!_x000a_(cella jobb oldala lent - kis négyzetben lévő fekete nyílra kattintva)">
          <x14:formula1>
            <xm:f>Segédlet!$C$5:$C$37</xm:f>
          </x14:formula1>
          <xm:sqref>C7:C106</xm:sqref>
        </x14:dataValidation>
        <x14:dataValidation type="list" showInputMessage="1" showErrorMessage="1" prompt="Kérem, a legördülő listából válassza ki a mobilitáshoz tartozó km sávot!">
          <x14:formula1>
            <xm:f>Segédlet!$G$5:$G$12</xm:f>
          </x14:formula1>
          <xm:sqref>M7:M106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2">
    <tabColor rgb="FFFF0000"/>
    <pageSetUpPr fitToPage="1"/>
  </sheetPr>
  <dimension ref="B1:Z39"/>
  <sheetViews>
    <sheetView zoomScale="60" zoomScaleNormal="60" workbookViewId="0">
      <selection activeCell="M26" sqref="M26"/>
    </sheetView>
  </sheetViews>
  <sheetFormatPr defaultColWidth="8.85546875" defaultRowHeight="15" x14ac:dyDescent="0.25"/>
  <cols>
    <col min="1" max="1" width="8.85546875" style="32"/>
    <col min="2" max="2" width="22.85546875" style="32" customWidth="1"/>
    <col min="3" max="3" width="12.7109375" style="32" bestFit="1" customWidth="1"/>
    <col min="4" max="4" width="17.5703125" style="32" customWidth="1"/>
    <col min="5" max="5" width="15.42578125" style="32" customWidth="1"/>
    <col min="6" max="6" width="16.85546875" style="32" customWidth="1"/>
    <col min="7" max="7" width="18.140625" style="32" customWidth="1"/>
    <col min="8" max="8" width="17.140625" style="34" customWidth="1"/>
    <col min="9" max="9" width="14.140625" style="34" customWidth="1"/>
    <col min="10" max="10" width="18.42578125" style="32" customWidth="1"/>
    <col min="11" max="11" width="16.140625" style="32" customWidth="1"/>
    <col min="12" max="12" width="10.85546875" style="32" customWidth="1"/>
    <col min="13" max="13" width="15.28515625" style="32" customWidth="1"/>
    <col min="14" max="14" width="16.5703125" style="32" customWidth="1"/>
    <col min="15" max="15" width="13.28515625" style="32" customWidth="1"/>
    <col min="16" max="16" width="15.5703125" style="32" customWidth="1"/>
    <col min="17" max="17" width="19.140625" style="32" customWidth="1"/>
    <col min="18" max="18" width="14" style="32" customWidth="1"/>
    <col min="19" max="19" width="13.7109375" style="32" customWidth="1"/>
    <col min="20" max="21" width="14" style="32" customWidth="1"/>
    <col min="22" max="22" width="14.5703125" style="32" customWidth="1"/>
    <col min="23" max="24" width="14.85546875" style="32" customWidth="1"/>
    <col min="25" max="25" width="12.28515625" style="32" customWidth="1"/>
    <col min="26" max="26" width="13.85546875" style="32" customWidth="1"/>
    <col min="27" max="27" width="15" style="32" customWidth="1"/>
    <col min="28" max="28" width="12.85546875" style="32" customWidth="1"/>
    <col min="29" max="29" width="15.28515625" style="32" customWidth="1"/>
    <col min="30" max="30" width="15.5703125" style="32" customWidth="1"/>
    <col min="31" max="31" width="13.85546875" style="32" customWidth="1"/>
    <col min="32" max="43" width="8.85546875" style="32"/>
    <col min="44" max="44" width="12.85546875" style="32" bestFit="1" customWidth="1"/>
    <col min="45" max="47" width="18.5703125" style="32" bestFit="1" customWidth="1"/>
    <col min="48" max="48" width="20.42578125" style="32" bestFit="1" customWidth="1"/>
    <col min="49" max="49" width="12.5703125" style="32" bestFit="1" customWidth="1"/>
    <col min="50" max="16384" width="8.85546875" style="32"/>
  </cols>
  <sheetData>
    <row r="1" spans="2:24" x14ac:dyDescent="0.25">
      <c r="G1" s="30"/>
      <c r="H1" s="31"/>
      <c r="I1" s="31"/>
      <c r="J1" s="30"/>
      <c r="K1" s="30"/>
      <c r="L1" s="30"/>
    </row>
    <row r="2" spans="2:24" ht="14.45" customHeight="1" x14ac:dyDescent="0.25">
      <c r="B2" s="122" t="s">
        <v>66</v>
      </c>
      <c r="C2" s="123"/>
      <c r="D2" s="124"/>
      <c r="E2" s="131" t="str">
        <f>IF(Kiutazások!E2&lt;&gt;"",Kiutazások!E2,"")</f>
        <v/>
      </c>
      <c r="F2" s="132"/>
      <c r="G2" s="132"/>
      <c r="H2" s="132"/>
      <c r="I2" s="132"/>
      <c r="J2" s="132"/>
      <c r="K2" s="132"/>
      <c r="L2" s="132"/>
      <c r="M2" s="133"/>
      <c r="R2" s="33"/>
      <c r="S2" s="33"/>
      <c r="T2" s="33"/>
      <c r="U2" s="33"/>
      <c r="V2" s="33"/>
      <c r="W2" s="33"/>
      <c r="X2" s="33"/>
    </row>
    <row r="3" spans="2:24" ht="14.45" customHeight="1" x14ac:dyDescent="0.25">
      <c r="B3" s="125"/>
      <c r="C3" s="126"/>
      <c r="D3" s="127"/>
      <c r="E3" s="134"/>
      <c r="F3" s="135"/>
      <c r="G3" s="135"/>
      <c r="H3" s="135"/>
      <c r="I3" s="135"/>
      <c r="J3" s="135"/>
      <c r="K3" s="135"/>
      <c r="L3" s="135"/>
      <c r="M3" s="136"/>
      <c r="R3" s="33"/>
      <c r="S3" s="33"/>
      <c r="T3" s="33"/>
      <c r="U3" s="33"/>
      <c r="V3" s="33"/>
      <c r="W3" s="33"/>
      <c r="X3" s="33"/>
    </row>
    <row r="4" spans="2:24" ht="14.45" customHeight="1" x14ac:dyDescent="0.25">
      <c r="B4" s="128"/>
      <c r="C4" s="129"/>
      <c r="D4" s="130"/>
      <c r="E4" s="137"/>
      <c r="F4" s="138"/>
      <c r="G4" s="138"/>
      <c r="H4" s="138"/>
      <c r="I4" s="138"/>
      <c r="J4" s="138"/>
      <c r="K4" s="138"/>
      <c r="L4" s="138"/>
      <c r="M4" s="139"/>
      <c r="R4" s="33"/>
      <c r="S4" s="33"/>
      <c r="T4" s="33"/>
      <c r="U4" s="33"/>
      <c r="V4" s="33"/>
      <c r="W4" s="33"/>
      <c r="X4" s="33"/>
    </row>
    <row r="5" spans="2:24" x14ac:dyDescent="0.25"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2:24" ht="18" customHeight="1" thickBot="1" x14ac:dyDescent="0.3"/>
    <row r="7" spans="2:24" ht="33" customHeight="1" x14ac:dyDescent="0.25">
      <c r="B7" s="149" t="s">
        <v>99</v>
      </c>
      <c r="C7" s="150"/>
      <c r="D7" s="150"/>
      <c r="E7" s="150"/>
      <c r="F7" s="150"/>
      <c r="G7" s="150"/>
      <c r="H7" s="150"/>
      <c r="I7" s="150"/>
      <c r="J7" s="151"/>
      <c r="K7" s="152"/>
      <c r="M7" s="153" t="s">
        <v>82</v>
      </c>
      <c r="N7" s="154"/>
      <c r="O7" s="154"/>
      <c r="P7" s="154"/>
      <c r="Q7" s="154"/>
      <c r="R7" s="154"/>
      <c r="S7" s="154"/>
      <c r="T7" s="154"/>
      <c r="U7" s="155"/>
    </row>
    <row r="8" spans="2:24" ht="100.5" customHeight="1" x14ac:dyDescent="0.3">
      <c r="B8" s="83"/>
      <c r="C8" s="145" t="s">
        <v>57</v>
      </c>
      <c r="D8" s="146"/>
      <c r="E8" s="147" t="s">
        <v>55</v>
      </c>
      <c r="F8" s="146"/>
      <c r="G8" s="147" t="s">
        <v>56</v>
      </c>
      <c r="H8" s="148"/>
      <c r="I8" s="142" t="s">
        <v>101</v>
      </c>
      <c r="J8" s="142" t="s">
        <v>102</v>
      </c>
      <c r="K8" s="143" t="s">
        <v>103</v>
      </c>
      <c r="M8" s="167" t="s">
        <v>97</v>
      </c>
      <c r="N8" s="168"/>
      <c r="O8" s="165" t="s">
        <v>84</v>
      </c>
      <c r="P8" s="166"/>
      <c r="Q8" s="109" t="s">
        <v>81</v>
      </c>
      <c r="R8" s="80" t="s">
        <v>83</v>
      </c>
      <c r="S8" s="80" t="s">
        <v>78</v>
      </c>
      <c r="T8" s="80" t="s">
        <v>79</v>
      </c>
      <c r="U8" s="60" t="s">
        <v>80</v>
      </c>
    </row>
    <row r="9" spans="2:24" ht="40.5" customHeight="1" thickBot="1" x14ac:dyDescent="0.35">
      <c r="B9" s="86"/>
      <c r="C9" s="80" t="s">
        <v>104</v>
      </c>
      <c r="D9" s="57" t="s">
        <v>105</v>
      </c>
      <c r="E9" s="56" t="s">
        <v>104</v>
      </c>
      <c r="F9" s="57" t="s">
        <v>105</v>
      </c>
      <c r="G9" s="56" t="s">
        <v>104</v>
      </c>
      <c r="H9" s="89" t="s">
        <v>105</v>
      </c>
      <c r="I9" s="142"/>
      <c r="J9" s="142"/>
      <c r="K9" s="144"/>
      <c r="M9" s="169"/>
      <c r="N9" s="170"/>
      <c r="O9" s="171"/>
      <c r="P9" s="172"/>
      <c r="Q9" s="110"/>
      <c r="R9" s="49">
        <f>IF(AND(Q9 &gt; 0,O9&gt;0,M9&gt;0),(SUMIF(Kiutazások!B7:B106,Segédlet!J5,(Kiutazások!K7:K106)))-M9,(SUMIF(Kiutazások!B7:B106,Segédlet!J5,(Kiutazások!K7:K106))))</f>
        <v>0</v>
      </c>
      <c r="S9" s="49">
        <f>IF(AND(O9&gt;0,Q9&gt;0,M9&gt;0),SUMIF(Kiutazások!B7:B106,Segédlet!J5,Segédlet!O3:O102)-O9,SUMIF(Kiutazások!B7:B106,Segédlet!J5,Segédlet!O3:O102))</f>
        <v>0</v>
      </c>
      <c r="T9" s="47">
        <f>ROUNDDOWN(IF(R9=0,0,S9/R9),2)</f>
        <v>0</v>
      </c>
      <c r="U9" s="55">
        <f>K15</f>
        <v>0</v>
      </c>
    </row>
    <row r="10" spans="2:24" ht="46.5" customHeight="1" x14ac:dyDescent="0.25">
      <c r="B10" s="61" t="s">
        <v>60</v>
      </c>
      <c r="C10" s="82">
        <f>SUMIF(Kiutazások!B7:B106,Segédlet!J5,Kiutazások!N7:N106)</f>
        <v>0</v>
      </c>
      <c r="D10" s="96">
        <f>IF(Kiutazások!B7:B106&lt;&gt;"",SUMIF(Kiutazások!B7:B106,Segédlet!J5,(Kiutazások!K7:K106))+SUMIF(Kiutazások!B7:B106,Segédlet!J5,(Kiutazások!J7:J106))-SUMIF(Kiutazások!B7:B106,Segédlet!J5,(Kiutazások!I7:I106)),0)</f>
        <v>0</v>
      </c>
      <c r="E10" s="95">
        <f>SUMIF(Kiutazások!B7:B106,Segédlet!J6,Kiutazások!N7:N106)</f>
        <v>0</v>
      </c>
      <c r="F10" s="96">
        <f>IF(Kiutazások!B7:B106&lt;&gt;"",SUMIF(Kiutazások!B7:B106,Segédlet!J6,(Kiutazások!K7:K106))+SUMIF(Kiutazások!B7:B106,Segédlet!J6,(Kiutazások!J7:J106))-SUMIF(Kiutazások!B7:B106,Segédlet!J6,(Kiutazások!I7:I106)),0)</f>
        <v>0</v>
      </c>
      <c r="G10" s="95">
        <f>SUMIF(Kiutazások!B7:B106,Segédlet!J7,Kiutazások!N7:N106)</f>
        <v>0</v>
      </c>
      <c r="H10" s="88">
        <f>IF(Kiutazások!B7:B106&lt;&gt;"",SUMIF(Kiutazások!B7:B106,Segédlet!J7,(Kiutazások!K7:K106))+SUMIF(Kiutazások!B7:B106,Segédlet!J7,(Kiutazások!J7:J106))-SUMIF(Kiutazások!B7:B106,Segédlet!J7,(Kiutazások!I7:I106)),0)</f>
        <v>0</v>
      </c>
      <c r="I10" s="102"/>
      <c r="J10" s="85"/>
      <c r="K10" s="48">
        <f>SUM(Kiutazások!N7:N106)</f>
        <v>0</v>
      </c>
      <c r="M10" s="153" t="s">
        <v>70</v>
      </c>
      <c r="N10" s="154"/>
      <c r="O10" s="154"/>
      <c r="P10" s="154"/>
      <c r="Q10" s="154"/>
      <c r="R10" s="154"/>
      <c r="S10" s="154"/>
      <c r="T10" s="154"/>
      <c r="U10" s="155"/>
    </row>
    <row r="11" spans="2:24" ht="44.25" customHeight="1" x14ac:dyDescent="0.25">
      <c r="B11" s="61" t="s">
        <v>59</v>
      </c>
      <c r="C11" s="82">
        <f>SUMIF(Kiutazások!B7:B106,Segédlet!J5,Kiutazások!P7:P106)</f>
        <v>0</v>
      </c>
      <c r="D11" s="96">
        <f>IF(Kiutazások!B7:B106&lt;&gt;"",SUMIF(Kiutazások!B7:B106,Segédlet!J5,(Kiutazások!K7:K106)),0)</f>
        <v>0</v>
      </c>
      <c r="E11" s="95">
        <f>SUMIF(Kiutazások!B7:B106,Segédlet!J6,Kiutazások!P7:P106)</f>
        <v>0</v>
      </c>
      <c r="F11" s="96">
        <f>IF(Kiutazások!B7:B106&lt;&gt;"",SUMIF(Kiutazások!B7:B106,Segédlet!J6,(Kiutazások!K7:K106)),0)</f>
        <v>0</v>
      </c>
      <c r="G11" s="95">
        <f>SUMIF(Kiutazások!B7:B106,Segédlet!J7,Kiutazások!P7:P106)</f>
        <v>0</v>
      </c>
      <c r="H11" s="88">
        <f>IF(Kiutazások!B7:B106&lt;&gt;"",SUMIF(Kiutazások!B7:B106,Segédlet!J7,(Kiutazások!K7:K106)),0)</f>
        <v>0</v>
      </c>
      <c r="I11" s="102"/>
      <c r="J11" s="85"/>
      <c r="K11" s="140">
        <f>SUM(Kiutazások!P7:P106)+SUM(Kiutazások!O7:O106)</f>
        <v>0</v>
      </c>
      <c r="M11" s="156"/>
      <c r="N11" s="157"/>
      <c r="O11" s="157"/>
      <c r="P11" s="157"/>
      <c r="Q11" s="157"/>
      <c r="R11" s="157"/>
      <c r="S11" s="157"/>
      <c r="T11" s="157"/>
      <c r="U11" s="158"/>
    </row>
    <row r="12" spans="2:24" ht="42" customHeight="1" x14ac:dyDescent="0.25">
      <c r="B12" s="87" t="s">
        <v>106</v>
      </c>
      <c r="C12" s="82">
        <f>SUMIF(Kiutazások!B7:B106,Segédlet!J5,Kiutazások!O7:O106)</f>
        <v>0</v>
      </c>
      <c r="D12" s="96">
        <f>IF(Kiutazások!B7:B106&lt;&gt;"",0,SUMIF(Kiutazások!B7:B106,Segédlet!J5,(Kiutazások!J7:J106)))</f>
        <v>0</v>
      </c>
      <c r="E12" s="95">
        <f>SUMIF(Kiutazások!B7:B106,Segédlet!J6,Kiutazások!O7:O106)</f>
        <v>0</v>
      </c>
      <c r="F12" s="96">
        <f>IF(Kiutazások!B7:B106&lt;&gt;"",0,SUMIF(Kiutazások!B7:B106,Segédlet!J6,(Kiutazások!J7:J106)))</f>
        <v>0</v>
      </c>
      <c r="G12" s="95">
        <f>SUMIF(Kiutazások!B7:B106,Segédlet!J7,Kiutazások!O7:O106)</f>
        <v>0</v>
      </c>
      <c r="H12" s="88">
        <f>IF(Kiutazások!B7:B106&lt;&gt;"",0,SUMIF(Kiutazások!B7:B106,Segédlet!J7,(Kiutazások!J7:J106)))</f>
        <v>0</v>
      </c>
      <c r="I12" s="102"/>
      <c r="J12" s="85"/>
      <c r="K12" s="141"/>
      <c r="M12" s="156"/>
      <c r="N12" s="157"/>
      <c r="O12" s="157"/>
      <c r="P12" s="157"/>
      <c r="Q12" s="157"/>
      <c r="R12" s="157"/>
      <c r="S12" s="157"/>
      <c r="T12" s="157"/>
      <c r="U12" s="158"/>
    </row>
    <row r="13" spans="2:24" ht="40.5" customHeight="1" x14ac:dyDescent="0.25">
      <c r="B13" s="61" t="s">
        <v>61</v>
      </c>
      <c r="C13" s="85"/>
      <c r="D13" s="104"/>
      <c r="E13" s="105"/>
      <c r="F13" s="104"/>
      <c r="G13" s="105"/>
      <c r="H13" s="106"/>
      <c r="I13" s="102"/>
      <c r="J13" s="85"/>
      <c r="K13" s="48">
        <f>SUM(Kiutazások!Q7:Q106)</f>
        <v>0</v>
      </c>
      <c r="M13" s="156"/>
      <c r="N13" s="157"/>
      <c r="O13" s="157"/>
      <c r="P13" s="157"/>
      <c r="Q13" s="157"/>
      <c r="R13" s="157"/>
      <c r="S13" s="157"/>
      <c r="T13" s="157"/>
      <c r="U13" s="158"/>
    </row>
    <row r="14" spans="2:24" ht="46.5" customHeight="1" x14ac:dyDescent="0.25">
      <c r="B14" s="61" t="s">
        <v>62</v>
      </c>
      <c r="C14" s="82">
        <f>SUMIF(Kiutazások!B7:B106,Segédlet!J5,Kiutazások!R7:R106)</f>
        <v>0</v>
      </c>
      <c r="D14" s="96">
        <f>IF(Kiutazások!B7:B106&lt;&gt;"",0,SUMIF(Kiutazások!B7:B106,Segédlet!J5,(Kiutazások!I7:I106)))</f>
        <v>0</v>
      </c>
      <c r="E14" s="95">
        <f>SUMIF(Kiutazások!B7:B106,Segédlet!J6,Kiutazások!R7:R106)</f>
        <v>0</v>
      </c>
      <c r="F14" s="96">
        <f>IF(Kiutazások!B7:B106&lt;&gt;"",0,SUMIF(Kiutazások!B7:B106,Segédlet!J6,(Kiutazások!I7:I106)))</f>
        <v>0</v>
      </c>
      <c r="G14" s="95">
        <f>SUMIF(Kiutazások!B7:B106,Segédlet!J7,Kiutazások!R7:R106)</f>
        <v>0</v>
      </c>
      <c r="H14" s="88">
        <f>IF(Kiutazások!B7:B106&lt;&gt;"",0,SUMIF(Kiutazások!B7:B106,Segédlet!J7,(Kiutazások!I7:I106)))</f>
        <v>0</v>
      </c>
      <c r="I14" s="102"/>
      <c r="J14" s="85"/>
      <c r="K14" s="48">
        <f>SUM(Kiutazások!R7:R106)</f>
        <v>0</v>
      </c>
      <c r="M14" s="159"/>
      <c r="N14" s="160"/>
      <c r="O14" s="160"/>
      <c r="P14" s="160"/>
      <c r="Q14" s="160"/>
      <c r="R14" s="160"/>
      <c r="S14" s="160"/>
      <c r="T14" s="160"/>
      <c r="U14" s="161"/>
    </row>
    <row r="15" spans="2:24" ht="32.25" customHeight="1" x14ac:dyDescent="0.25">
      <c r="B15" s="62" t="s">
        <v>5</v>
      </c>
      <c r="C15" s="82">
        <f>SUM(Kiutazások!S7:S106)</f>
        <v>0</v>
      </c>
      <c r="D15" s="96">
        <f>SUMIF(Kiutazások!B7:B106,Segédlet!J5,(Kiutazások!K7:K106))</f>
        <v>0</v>
      </c>
      <c r="E15" s="105"/>
      <c r="F15" s="104"/>
      <c r="G15" s="105"/>
      <c r="H15" s="106"/>
      <c r="I15" s="102"/>
      <c r="J15" s="85"/>
      <c r="K15" s="48">
        <f>IF(AND(M9&gt;0,O9&gt;0),SUM(Kiutazások!S7:S106)-Q9,SUM(Kiutazások!S7:S106))</f>
        <v>0</v>
      </c>
      <c r="M15" s="159"/>
      <c r="N15" s="160"/>
      <c r="O15" s="160"/>
      <c r="P15" s="160"/>
      <c r="Q15" s="160"/>
      <c r="R15" s="160"/>
      <c r="S15" s="160"/>
      <c r="T15" s="160"/>
      <c r="U15" s="161"/>
    </row>
    <row r="16" spans="2:24" ht="35.25" thickBot="1" x14ac:dyDescent="0.3">
      <c r="B16" s="61" t="s">
        <v>67</v>
      </c>
      <c r="C16" s="85"/>
      <c r="D16" s="104"/>
      <c r="E16" s="105"/>
      <c r="F16" s="104"/>
      <c r="G16" s="105"/>
      <c r="H16" s="106"/>
      <c r="I16" s="95">
        <f>SUM(Kiutazások!K7:K106)</f>
        <v>0</v>
      </c>
      <c r="J16" s="82">
        <f>SUM(Kiutazások!L7:L106)</f>
        <v>0</v>
      </c>
      <c r="K16" s="48">
        <f>(SUM(Kiutazások!K7:K106)+SUM(Kiutazások!L7:L106))*350</f>
        <v>0</v>
      </c>
      <c r="M16" s="162"/>
      <c r="N16" s="163"/>
      <c r="O16" s="163"/>
      <c r="P16" s="163"/>
      <c r="Q16" s="163"/>
      <c r="R16" s="163"/>
      <c r="S16" s="163"/>
      <c r="T16" s="163"/>
      <c r="U16" s="164"/>
    </row>
    <row r="17" spans="2:26" ht="40.5" customHeight="1" x14ac:dyDescent="0.25">
      <c r="B17" s="61" t="s">
        <v>100</v>
      </c>
      <c r="C17" s="85"/>
      <c r="D17" s="97">
        <f>SUMIF(Kiutazások!B7:B106,Segédlet!J5,Kiutazások!K7:K106)</f>
        <v>0</v>
      </c>
      <c r="E17" s="105"/>
      <c r="F17" s="97">
        <f>SUMIF(Kiutazások!B7:B106,Segédlet!J6,Kiutazások!K7:K106)</f>
        <v>0</v>
      </c>
      <c r="G17" s="105"/>
      <c r="H17" s="90">
        <f>SUMIF(Kiutazások!B7:B106,Segédlet!J7,Kiutazások!K7:K106)</f>
        <v>0</v>
      </c>
      <c r="I17" s="102"/>
      <c r="J17" s="85"/>
      <c r="K17" s="48"/>
    </row>
    <row r="18" spans="2:26" ht="52.5" thickBot="1" x14ac:dyDescent="0.3">
      <c r="B18" s="98" t="s">
        <v>98</v>
      </c>
      <c r="C18" s="107"/>
      <c r="D18" s="99">
        <f>SUMIF(Kiutazások!B7:B106,Segédlet!J5,Kiutazások!L7:L106)</f>
        <v>0</v>
      </c>
      <c r="E18" s="108"/>
      <c r="F18" s="99">
        <f>SUMIF(Kiutazások!B7:B106,Segédlet!J6,Kiutazások!L7:L106)</f>
        <v>0</v>
      </c>
      <c r="G18" s="108"/>
      <c r="H18" s="100">
        <f>SUMIF(Kiutazások!B7:B106,Segédlet!J7,Kiutazások!L7:L106)</f>
        <v>0</v>
      </c>
      <c r="I18" s="103"/>
      <c r="J18" s="107"/>
      <c r="K18" s="101"/>
    </row>
    <row r="19" spans="2:26" ht="24" customHeight="1" thickBot="1" x14ac:dyDescent="0.3">
      <c r="B19" s="91" t="s">
        <v>68</v>
      </c>
      <c r="C19" s="92">
        <f>SUM(C10:C15)</f>
        <v>0</v>
      </c>
      <c r="D19" s="93">
        <f>D17+D18</f>
        <v>0</v>
      </c>
      <c r="E19" s="92">
        <f>SUM(E10:E14)</f>
        <v>0</v>
      </c>
      <c r="F19" s="93">
        <f>F18+F17</f>
        <v>0</v>
      </c>
      <c r="G19" s="92">
        <f>SUM(G10:G14)</f>
        <v>0</v>
      </c>
      <c r="H19" s="93">
        <f>H18+H17</f>
        <v>0</v>
      </c>
      <c r="I19" s="93">
        <f>I16+J16</f>
        <v>0</v>
      </c>
      <c r="J19" s="93">
        <f>J16</f>
        <v>0</v>
      </c>
      <c r="K19" s="94">
        <f>SUM(K10:K16)</f>
        <v>0</v>
      </c>
    </row>
    <row r="20" spans="2:26" ht="34.5" customHeight="1" thickBot="1" x14ac:dyDescent="0.3"/>
    <row r="21" spans="2:26" ht="35.450000000000003" customHeight="1" thickTop="1" x14ac:dyDescent="0.25">
      <c r="B21" s="173" t="s">
        <v>85</v>
      </c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5"/>
    </row>
    <row r="22" spans="2:26" ht="66.599999999999994" customHeight="1" x14ac:dyDescent="0.25">
      <c r="B22" s="181"/>
      <c r="C22" s="176" t="s">
        <v>57</v>
      </c>
      <c r="D22" s="177"/>
      <c r="E22" s="177"/>
      <c r="F22" s="177"/>
      <c r="G22" s="177"/>
      <c r="H22" s="177"/>
      <c r="I22" s="177"/>
      <c r="J22" s="178"/>
      <c r="K22" s="179" t="s">
        <v>55</v>
      </c>
      <c r="L22" s="177"/>
      <c r="M22" s="177"/>
      <c r="N22" s="177"/>
      <c r="O22" s="177"/>
      <c r="P22" s="177"/>
      <c r="Q22" s="177"/>
      <c r="R22" s="178"/>
      <c r="S22" s="179" t="s">
        <v>56</v>
      </c>
      <c r="T22" s="177"/>
      <c r="U22" s="177"/>
      <c r="V22" s="177"/>
      <c r="W22" s="177"/>
      <c r="X22" s="177"/>
      <c r="Y22" s="177"/>
      <c r="Z22" s="180"/>
    </row>
    <row r="23" spans="2:26" s="34" customFormat="1" ht="103.5" x14ac:dyDescent="0.25">
      <c r="B23" s="182"/>
      <c r="C23" s="80" t="s">
        <v>83</v>
      </c>
      <c r="D23" s="80" t="s">
        <v>78</v>
      </c>
      <c r="E23" s="80" t="s">
        <v>79</v>
      </c>
      <c r="F23" s="57" t="s">
        <v>80</v>
      </c>
      <c r="G23" s="63" t="s">
        <v>88</v>
      </c>
      <c r="H23" s="64" t="s">
        <v>89</v>
      </c>
      <c r="I23" s="64" t="s">
        <v>90</v>
      </c>
      <c r="J23" s="65" t="s">
        <v>91</v>
      </c>
      <c r="K23" s="56" t="s">
        <v>83</v>
      </c>
      <c r="L23" s="80" t="s">
        <v>78</v>
      </c>
      <c r="M23" s="80" t="s">
        <v>79</v>
      </c>
      <c r="N23" s="57" t="s">
        <v>80</v>
      </c>
      <c r="O23" s="63" t="s">
        <v>88</v>
      </c>
      <c r="P23" s="64" t="s">
        <v>89</v>
      </c>
      <c r="Q23" s="64" t="s">
        <v>90</v>
      </c>
      <c r="R23" s="65" t="s">
        <v>91</v>
      </c>
      <c r="S23" s="56" t="s">
        <v>83</v>
      </c>
      <c r="T23" s="80" t="s">
        <v>78</v>
      </c>
      <c r="U23" s="80" t="s">
        <v>79</v>
      </c>
      <c r="V23" s="57" t="s">
        <v>80</v>
      </c>
      <c r="W23" s="63" t="s">
        <v>88</v>
      </c>
      <c r="X23" s="64" t="s">
        <v>89</v>
      </c>
      <c r="Y23" s="64" t="s">
        <v>90</v>
      </c>
      <c r="Z23" s="71" t="s">
        <v>91</v>
      </c>
    </row>
    <row r="24" spans="2:26" ht="17.25" x14ac:dyDescent="0.25">
      <c r="B24" s="77" t="s">
        <v>72</v>
      </c>
      <c r="C24" s="49">
        <f>SUMIFS(Kiutazások!K7:K106,Kiutazások!B7:B106,Segédlet!J5,Kiutazások!D7:D106,B24)</f>
        <v>0</v>
      </c>
      <c r="D24" s="49">
        <f>SUMIFS(Segédlet!M3:M102,Kiutazások!B7:B106,Segédlet!J5,Kiutazások!D7:D106,B24)</f>
        <v>0</v>
      </c>
      <c r="E24" s="46">
        <f>ROUNDDOWN(IF(C24=0,0,D24/C24),1)</f>
        <v>0</v>
      </c>
      <c r="F24" s="67">
        <f>SUMIFS(Kiutazások!P7:P106,Kiutazások!B7:B106,Segédlet!J5,Kiutazások!D7:D106,B24)</f>
        <v>0</v>
      </c>
      <c r="G24" s="49">
        <f>SUMIFS(Kiutazások!J7:J106,Kiutazások!B7:B106,Segédlet!J5,Kiutazások!D7:D106,B24)</f>
        <v>0</v>
      </c>
      <c r="H24" s="49">
        <f>SUMIFS(Segédlet!N3:N102,Kiutazások!B7:B106,Segédlet!J5,Kiutazások!D7:D106,B24)</f>
        <v>0</v>
      </c>
      <c r="I24" s="46">
        <f>ROUNDDOWN(IF(G24=0,0,H24/G24),1)</f>
        <v>0</v>
      </c>
      <c r="J24" s="51">
        <f>SUMIFS(Kiutazások!O7:O106,Kiutazások!B7:B106,Segédlet!J5,Kiutazások!D7:D106,B24)</f>
        <v>0</v>
      </c>
      <c r="K24" s="49">
        <f>SUMIFS(Kiutazások!K7:K106,Kiutazások!B7:B106,Segédlet!J6,Kiutazások!D7:D106,B24)</f>
        <v>0</v>
      </c>
      <c r="L24" s="49">
        <f>SUMIFS(Segédlet!M3:M102,Kiutazások!B7:B106,Segédlet!J6,Kiutazások!D7:D106,B24)</f>
        <v>0</v>
      </c>
      <c r="M24" s="46">
        <f>ROUNDDOWN(IF(K24=0,0,L24/K24),1)</f>
        <v>0</v>
      </c>
      <c r="N24" s="67">
        <f>SUMIFS(Kiutazások!P7:P106,Kiutazások!B7:B106,Segédlet!J6,Kiutazások!D7:D106,B24)</f>
        <v>0</v>
      </c>
      <c r="O24" s="49">
        <f>SUMIFS(Kiutazások!J7:J106,Kiutazások!B7:B106,Segédlet!J6,Kiutazások!D7:D106,B24)</f>
        <v>0</v>
      </c>
      <c r="P24" s="49">
        <f>SUMIFS(Segédlet!N3:N102,Kiutazások!B7:B106,Segédlet!J6,Kiutazások!D7:D106,B24)</f>
        <v>0</v>
      </c>
      <c r="Q24" s="46">
        <f>ROUNDDOWN(IF(O24=0,0,P24/O24),1)</f>
        <v>0</v>
      </c>
      <c r="R24" s="51">
        <f>SUMIFS(Kiutazások!O7:O106,Kiutazások!B7:B106,Segédlet!J6,Kiutazások!D7:D106,B24)</f>
        <v>0</v>
      </c>
      <c r="S24" s="53">
        <f>SUMIFS(Kiutazások!K7:K106,Kiutazások!B7:B106,Segédlet!J7,Kiutazások!D7:D106,B24)</f>
        <v>0</v>
      </c>
      <c r="T24" s="49">
        <f>SUMIFS(Segédlet!M3:M102,Kiutazások!B7:B106,Segédlet!J7,Kiutazások!D7:D106,B24)</f>
        <v>0</v>
      </c>
      <c r="U24" s="46">
        <f>ROUNDDOWN(IF(S24=0,0,T24/S24),1)</f>
        <v>0</v>
      </c>
      <c r="V24" s="67">
        <f>SUMIFS(Kiutazások!P7:P106,Kiutazások!B7:B106,Segédlet!J7,Kiutazások!D7:D106,B24)</f>
        <v>0</v>
      </c>
      <c r="W24" s="49">
        <f>SUMIFS(Kiutazások!J7:J106,Kiutazások!B7:B106,Segédlet!J7,Kiutazások!D7:D106,B24)</f>
        <v>0</v>
      </c>
      <c r="X24" s="49">
        <f>SUMIFS(Segédlet!N3:N102,Kiutazások!B7:B106,Segédlet!J7,Kiutazások!D7:D106,B24)</f>
        <v>0</v>
      </c>
      <c r="Y24" s="46">
        <f>ROUNDDOWN(IF(W24=0,0,X24/W24),1)</f>
        <v>0</v>
      </c>
      <c r="Z24" s="69">
        <f>SUMIFS(Kiutazások!O7:O106,Kiutazások!B7:B106,Segédlet!J7,Kiutazások!D7:D106,B24)</f>
        <v>0</v>
      </c>
    </row>
    <row r="25" spans="2:26" ht="17.25" x14ac:dyDescent="0.25">
      <c r="B25" s="77" t="s">
        <v>73</v>
      </c>
      <c r="C25" s="49">
        <f>SUMIFS(Kiutazások!K7:K106,Kiutazások!B7:B106,Segédlet!J5,Kiutazások!D7:D106,B25)</f>
        <v>0</v>
      </c>
      <c r="D25" s="49">
        <f>SUMIFS(Segédlet!M3:M102,Kiutazások!B7:B106,Segédlet!J5,Kiutazások!D7:D106,B25)</f>
        <v>0</v>
      </c>
      <c r="E25" s="46">
        <f>ROUNDDOWN(IF(C25=0,0,D25/C25),1)</f>
        <v>0</v>
      </c>
      <c r="F25" s="67">
        <f>SUMIFS(Kiutazások!P7:P106,Kiutazások!B7:B106,Segédlet!J5,Kiutazások!D7:D106,B25)</f>
        <v>0</v>
      </c>
      <c r="G25" s="49">
        <f>SUMIFS(Kiutazások!J7:J106,Kiutazások!B7:B106,Segédlet!J5,Kiutazások!D7:D106,B25)</f>
        <v>0</v>
      </c>
      <c r="H25" s="49">
        <f>SUMIFS(Segédlet!N3:N102,Kiutazások!B7:B106,Segédlet!J5,Kiutazások!D7:D106,B25)</f>
        <v>0</v>
      </c>
      <c r="I25" s="46">
        <f>ROUNDDOWN(IF(G25=0,0,H25/G25),1)</f>
        <v>0</v>
      </c>
      <c r="J25" s="51">
        <f>SUMIFS(Kiutazások!O7:O106,Kiutazások!B7:B106,Segédlet!J5,Kiutazások!D7:D106,B25)</f>
        <v>0</v>
      </c>
      <c r="K25" s="49">
        <f>SUMIFS(Kiutazások!K7:K106,Kiutazások!B7:B106,Segédlet!J6,Kiutazások!D7:D106,B25)</f>
        <v>0</v>
      </c>
      <c r="L25" s="49">
        <f>SUMIFS(Segédlet!M3:M102,Kiutazások!B7:B106,Segédlet!J6,Kiutazások!D7:D106,B25)</f>
        <v>0</v>
      </c>
      <c r="M25" s="46">
        <f>ROUNDDOWN(IF(K25=0,0,L25/K25),1)</f>
        <v>0</v>
      </c>
      <c r="N25" s="67">
        <f>SUMIFS(Kiutazások!P7:P106,Kiutazások!B7:B106,Segédlet!J6,Kiutazások!D7:D106,B25)</f>
        <v>0</v>
      </c>
      <c r="O25" s="49">
        <f>SUMIFS(Kiutazások!J7:J106,Kiutazások!B7:B106,Segédlet!J6,Kiutazások!D7:D106,B25)</f>
        <v>0</v>
      </c>
      <c r="P25" s="49">
        <f>SUMIFS(Segédlet!N3:N102,Kiutazások!B7:B106,Segédlet!J6,Kiutazások!D7:D106,B25)</f>
        <v>0</v>
      </c>
      <c r="Q25" s="46">
        <f>ROUNDDOWN(IF(O25=0,0,P25/O25),1)</f>
        <v>0</v>
      </c>
      <c r="R25" s="51">
        <f>SUMIFS(Kiutazások!O7:O106,Kiutazások!B7:B106,Segédlet!J6,Kiutazások!D7:D106,B25)</f>
        <v>0</v>
      </c>
      <c r="S25" s="53">
        <f>SUMIFS(Kiutazások!K7:K106,Kiutazások!B7:B106,Segédlet!J7,Kiutazások!D7:D106,B25)</f>
        <v>0</v>
      </c>
      <c r="T25" s="49">
        <f>SUMIFS(Segédlet!M3:M102,Kiutazások!B7:B106,Segédlet!J7,Kiutazások!D7:D106,B25)</f>
        <v>0</v>
      </c>
      <c r="U25" s="46">
        <f>ROUNDDOWN(IF(S25=0,0,T25/S25),1)</f>
        <v>0</v>
      </c>
      <c r="V25" s="67">
        <f>SUMIFS(Kiutazások!P7:P106,Kiutazások!B7:B106,Segédlet!J7,Kiutazások!D7:D106,B25)</f>
        <v>0</v>
      </c>
      <c r="W25" s="49">
        <f>SUMIFS(Kiutazások!J7:J106,Kiutazások!B7:B106,Segédlet!J7,Kiutazások!D7:D106,B25)</f>
        <v>0</v>
      </c>
      <c r="X25" s="49">
        <f>SUMIFS(Segédlet!N3:N102,Kiutazások!B7:B106,Segédlet!J7,Kiutazások!D7:D106,B25)</f>
        <v>0</v>
      </c>
      <c r="Y25" s="46">
        <f>ROUNDDOWN(IF(W25=0,0,X25/W25),1)</f>
        <v>0</v>
      </c>
      <c r="Z25" s="69">
        <f>SUMIFS(Kiutazások!O7:O106,Kiutazások!B7:B106,Segédlet!J7,Kiutazások!D7:D106,B25)</f>
        <v>0</v>
      </c>
    </row>
    <row r="26" spans="2:26" ht="18" thickBot="1" x14ac:dyDescent="0.3">
      <c r="B26" s="78" t="s">
        <v>74</v>
      </c>
      <c r="C26" s="50">
        <f>SUMIFS(Kiutazások!K7:K106,Kiutazások!B7:B106,Segédlet!J5,Kiutazások!D7:D106,B26)</f>
        <v>0</v>
      </c>
      <c r="D26" s="50">
        <f>SUMIFS(Segédlet!M3:M102,Kiutazások!B7:B106,Segédlet!J5,Kiutazások!D7:D106,B26)</f>
        <v>0</v>
      </c>
      <c r="E26" s="46">
        <f>ROUNDDOWN(IF(C26=0,0,D26/C26),1)</f>
        <v>0</v>
      </c>
      <c r="F26" s="68">
        <f>SUMIFS(Kiutazások!P7:P106,Kiutazások!B7:B106,Segédlet!J5,Kiutazások!D7:D106,B26)</f>
        <v>0</v>
      </c>
      <c r="G26" s="66">
        <f>SUMIFS(Kiutazások!J7:J106,Kiutazások!B7:B106,Segédlet!J5,Kiutazások!D7:D106,B26)</f>
        <v>0</v>
      </c>
      <c r="H26" s="50">
        <f>SUMIFS(Segédlet!N3:N102,Kiutazások!B7:B106,Segédlet!J5,Kiutazások!D7:D106,B26)</f>
        <v>0</v>
      </c>
      <c r="I26" s="46">
        <f>ROUNDDOWN(IF(G26=0,0,H26/G26),1)</f>
        <v>0</v>
      </c>
      <c r="J26" s="52">
        <f>SUMIFS(Kiutazások!O7:O106,Kiutazások!B7:B106,Segédlet!J5,Kiutazások!D7:D106,B26)</f>
        <v>0</v>
      </c>
      <c r="K26" s="50">
        <f>SUMIFS(Kiutazások!K7:K106,Kiutazások!B7:B106,Segédlet!J6,Kiutazások!D7:D106,B26)</f>
        <v>0</v>
      </c>
      <c r="L26" s="50">
        <f>SUMIFS(Segédlet!M3:M102,Kiutazások!B7:B106,Segédlet!J6,Kiutazások!D7:D106,B26)</f>
        <v>0</v>
      </c>
      <c r="M26" s="46">
        <f>ROUNDDOWN(IF(K26=0,0,L26/K26),1)</f>
        <v>0</v>
      </c>
      <c r="N26" s="68">
        <f>SUMIFS(Kiutazások!P7:P106,Kiutazások!B7:B106,Segédlet!J6,Kiutazások!D7:D106,B26)</f>
        <v>0</v>
      </c>
      <c r="O26" s="66">
        <f>SUMIFS(Kiutazások!J7:J106,Kiutazások!B7:B106,Segédlet!J6,Kiutazások!D7:D106,B26)</f>
        <v>0</v>
      </c>
      <c r="P26" s="50">
        <f>SUMIFS(Segédlet!N3:N102,Kiutazások!B7:B106,Segédlet!J6,Kiutazások!D7:D106,B26)</f>
        <v>0</v>
      </c>
      <c r="Q26" s="46">
        <f>ROUNDDOWN(IF(O26=0,0,P26/O26),1)</f>
        <v>0</v>
      </c>
      <c r="R26" s="52">
        <f>SUMIFS(Kiutazások!O7:O106,Kiutazások!B7:B106,Segédlet!J6,Kiutazások!D7:D106,B26)</f>
        <v>0</v>
      </c>
      <c r="S26" s="54">
        <f>SUMIFS(Kiutazások!K7:K106,Kiutazások!B7:B106,Segédlet!J7,Kiutazások!D7:D106,B26)</f>
        <v>0</v>
      </c>
      <c r="T26" s="50">
        <f>SUMIFS(Segédlet!M3:M102,Kiutazások!B7:B106,Segédlet!J7,Kiutazások!D7:D106,B26)</f>
        <v>0</v>
      </c>
      <c r="U26" s="46">
        <f>ROUNDDOWN(IF(S26=0,0,T26/S26),1)</f>
        <v>0</v>
      </c>
      <c r="V26" s="68">
        <f>SUMIFS(Kiutazások!P7:P106,Kiutazások!B7:B106,Segédlet!J7,Kiutazások!D7:D106,B26)</f>
        <v>0</v>
      </c>
      <c r="W26" s="66">
        <f>SUMIFS(Kiutazások!J7:J106,Kiutazások!B7:B106,Segédlet!J7,Kiutazások!D7:D106,B26)</f>
        <v>0</v>
      </c>
      <c r="X26" s="50">
        <f>SUMIFS(Segédlet!N3:N102,Kiutazások!B7:B106,Segédlet!J7,Kiutazások!D7:D106,B26)</f>
        <v>0</v>
      </c>
      <c r="Y26" s="46">
        <f>ROUNDDOWN(IF(W26=0,0,X26/W26),1)</f>
        <v>0</v>
      </c>
      <c r="Z26" s="70">
        <f>SUMIFS(Kiutazások!O7:O106,Kiutazások!B7:B106,Segédlet!J7,Kiutazások!D7:D106,B26)</f>
        <v>0</v>
      </c>
    </row>
    <row r="27" spans="2:26" ht="30" customHeight="1" thickBot="1" x14ac:dyDescent="0.3">
      <c r="B27" s="79" t="s">
        <v>77</v>
      </c>
      <c r="C27" s="72">
        <f>SUM(C24:C26)</f>
        <v>0</v>
      </c>
      <c r="D27" s="72">
        <f>SUM(D24:D26)</f>
        <v>0</v>
      </c>
      <c r="E27" s="84"/>
      <c r="F27" s="73">
        <f>SUM(F24:F26)</f>
        <v>0</v>
      </c>
      <c r="G27" s="72">
        <f>SUM(G24:G26)</f>
        <v>0</v>
      </c>
      <c r="H27" s="72">
        <f>SUM(H24:H26)</f>
        <v>0</v>
      </c>
      <c r="I27" s="84"/>
      <c r="J27" s="74">
        <f>SUM(J24:J26)</f>
        <v>0</v>
      </c>
      <c r="K27" s="72">
        <f>SUM(K24:K26)</f>
        <v>0</v>
      </c>
      <c r="L27" s="72">
        <f>SUM(L24:L26)</f>
        <v>0</v>
      </c>
      <c r="M27" s="84"/>
      <c r="N27" s="73">
        <f>SUM(N24:N26)</f>
        <v>0</v>
      </c>
      <c r="O27" s="72">
        <f>SUM(O24:O26)</f>
        <v>0</v>
      </c>
      <c r="P27" s="72">
        <f>SUM(P24:P26)</f>
        <v>0</v>
      </c>
      <c r="Q27" s="84"/>
      <c r="R27" s="74">
        <f>SUM(R24:R26)</f>
        <v>0</v>
      </c>
      <c r="S27" s="75">
        <f>SUM(S24:S26)</f>
        <v>0</v>
      </c>
      <c r="T27" s="72">
        <f>SUM(T24:T26)</f>
        <v>0</v>
      </c>
      <c r="U27" s="84"/>
      <c r="V27" s="73">
        <f>SUM(V24:V26)</f>
        <v>0</v>
      </c>
      <c r="W27" s="72">
        <f>SUM(W24:W26)</f>
        <v>0</v>
      </c>
      <c r="X27" s="72">
        <f>SUM(X24:X26)</f>
        <v>0</v>
      </c>
      <c r="Y27" s="84"/>
      <c r="Z27" s="76">
        <f>SUM(Z24:Z26)</f>
        <v>0</v>
      </c>
    </row>
    <row r="28" spans="2:26" ht="15.75" customHeight="1" thickTop="1" x14ac:dyDescent="0.25">
      <c r="H28" s="32"/>
      <c r="I28" s="32"/>
    </row>
    <row r="30" spans="2:26" x14ac:dyDescent="0.25">
      <c r="N30" s="30"/>
    </row>
    <row r="38" ht="52.5" customHeight="1" x14ac:dyDescent="0.25"/>
    <row r="39" ht="34.5" customHeight="1" x14ac:dyDescent="0.25"/>
  </sheetData>
  <sheetProtection algorithmName="SHA-512" hashValue="VuuWlTJOUAbz6zXw49tnK8xiQ/pxnykh/DDpfxPLe6nW5TRj2XSiY/gx/oEmPzAykrqNh77UUQAsGcuBULPhOQ==" saltValue="cvxEeDH2ph3y6Z481WIFWg==" spinCount="100000" sheet="1" objects="1" scenarios="1"/>
  <protectedRanges>
    <protectedRange algorithmName="SHA-512" hashValue="4tOTNeTEKKn9tTYuh4wB0cctxYbsLe1ubDRWHTekfDikGATaR+1VHoOK+hiDW2yGjriEmcUzkc+u9OM3Dr/D+A==" saltValue="DLvFreBFetj4ACM2LSSbEQ==" spinCount="100000" sqref="E2 B2 F2:M4 C3:E4 R2:X4" name="Nem módosítható"/>
  </protectedRanges>
  <dataConsolidate/>
  <mergeCells count="22">
    <mergeCell ref="O9:P9"/>
    <mergeCell ref="B21:Z21"/>
    <mergeCell ref="C22:J22"/>
    <mergeCell ref="K22:R22"/>
    <mergeCell ref="S22:Z22"/>
    <mergeCell ref="B22:B23"/>
    <mergeCell ref="B2:D4"/>
    <mergeCell ref="E2:M4"/>
    <mergeCell ref="K11:K12"/>
    <mergeCell ref="I8:I9"/>
    <mergeCell ref="J8:J9"/>
    <mergeCell ref="K8:K9"/>
    <mergeCell ref="C8:D8"/>
    <mergeCell ref="E8:F8"/>
    <mergeCell ref="G8:H8"/>
    <mergeCell ref="B7:K7"/>
    <mergeCell ref="M10:U10"/>
    <mergeCell ref="M11:U16"/>
    <mergeCell ref="O8:P8"/>
    <mergeCell ref="M8:N8"/>
    <mergeCell ref="M7:U7"/>
    <mergeCell ref="M9:N9"/>
  </mergeCells>
  <conditionalFormatting sqref="M9:Q9 M11:U16">
    <cfRule type="expression" dxfId="4" priority="19">
      <formula>#REF!&lt;&gt;""</formula>
    </cfRule>
    <cfRule type="expression" dxfId="3" priority="20">
      <formula>$Q$9&gt;0</formula>
    </cfRule>
    <cfRule type="expression" dxfId="2" priority="21">
      <formula>$O$9&gt;0</formula>
    </cfRule>
    <cfRule type="expression" dxfId="1" priority="22">
      <formula>$M$9&gt;0</formula>
    </cfRule>
  </conditionalFormatting>
  <dataValidations count="5">
    <dataValidation type="custom" allowBlank="1" showInputMessage="1" showErrorMessage="1" error="A 'Nem elszámolható napok száma' nem lehet 0, ha a 'Nem elszámolható kurzusdíj összege' és/vagy a 'Levonandó résztvevőszám' nagyobb, mint 0!_x000a_10 napnál több napot nem lehet levonni/fő, mert a kurzusdíj a 10. naptól max 700 EUR" prompt="Ha van ilyen résztvevő ide kizárólag nullánál nagyobb számot írjon be, amennyiben nincs ilyen résztvevő, ezt a mezőt hagyja üresen!" sqref="O9:P9">
      <formula1>AND(O9/M9&lt;=10,IF(M9&gt;0,O9&gt;0,O9=0))</formula1>
    </dataValidation>
    <dataValidation type="whole" operator="greaterThanOrEqual" allowBlank="1" showInputMessage="1" showErrorMessage="1" error="A 'Nem elszámolható kurzusdíj összege' nem lehet nulla, ha a  'Levonandó résztveőszám'és/vagy a 'Nem elszámolható napok száma' mezők értéke nagyobb, mint nulla!" prompt="Ha van ilyen résztvevő ide kizárólag nullánál nagyobb számot írjon be, amennyiben nincs ilyen résztvevő, ezt a mezőt hagyja üresen!" sqref="Q9">
      <formula1>0</formula1>
    </dataValidation>
    <dataValidation type="custom" allowBlank="1" showInputMessage="1" showErrorMessage="1" error="A 'Levonandó résztvevőszám' nem lehet 0, ha a 'Nem elszámolható kurzusdíj összege' és/vagy a 'Nem elszámolható napok száma' nagyobb, mint 0!_x000a_10 napnál több napot nem lehet levonni/fő, mert a kurzusdíj a 10. naptól max 700 EUR" prompt="Ha van ilyen résztvevő ide kizárólag nullánál nagyobb számot írjon be, amennyiben nincs ilyen résztvevő, ezt a mezőt hagyja üresen!" sqref="M9:N9">
      <formula1>IF(Q9&gt;0,AND(M9&gt;=O9/10,M9&gt;0),M9=0)</formula1>
    </dataValidation>
    <dataValidation type="textLength" operator="lessThanOrEqual" allowBlank="1" showInputMessage="1" showErrorMessage="1" error="Túllépte a megengedett karaktert!" prompt="Kérem, szövegesen vezesse le, hogy miért annyi euró a levonás összege, amit az adott mezőbe beírtak!" sqref="M11:U16">
      <formula1>3000</formula1>
    </dataValidation>
    <dataValidation operator="lessThanOrEqual" allowBlank="1" showInputMessage="1" showErrorMessage="1" sqref="M17:U19"/>
  </dataValidations>
  <printOptions verticalCentered="1"/>
  <pageMargins left="0.59055118110236227" right="0.59055118110236227" top="0.59055118110236227" bottom="0.59055118110236227" header="0" footer="0"/>
  <pageSetup paperSize="9" scale="32" fitToHeight="0" orientation="landscape" r:id="rId1"/>
  <ignoredErrors>
    <ignoredError sqref="F19:G19" 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1"/>
  </sheetPr>
  <dimension ref="B1:O102"/>
  <sheetViews>
    <sheetView zoomScale="60" zoomScaleNormal="60" workbookViewId="0">
      <selection activeCell="O3" sqref="O3"/>
    </sheetView>
  </sheetViews>
  <sheetFormatPr defaultRowHeight="15" x14ac:dyDescent="0.25"/>
  <cols>
    <col min="2" max="2" width="15.28515625" bestFit="1" customWidth="1"/>
    <col min="3" max="3" width="16.85546875" bestFit="1" customWidth="1"/>
    <col min="4" max="4" width="9.28515625" customWidth="1"/>
    <col min="7" max="7" width="14" bestFit="1" customWidth="1"/>
    <col min="8" max="8" width="14.85546875" bestFit="1" customWidth="1"/>
    <col min="10" max="10" width="84" bestFit="1" customWidth="1"/>
    <col min="12" max="12" width="15.28515625" customWidth="1"/>
    <col min="13" max="18" width="15.7109375" customWidth="1"/>
  </cols>
  <sheetData>
    <row r="1" spans="2:15" ht="15.75" thickBot="1" x14ac:dyDescent="0.3"/>
    <row r="2" spans="2:15" ht="60" customHeight="1" x14ac:dyDescent="0.25">
      <c r="B2" s="185" t="s">
        <v>54</v>
      </c>
      <c r="C2" s="186"/>
      <c r="D2" s="186"/>
      <c r="E2" s="187"/>
      <c r="M2" s="81" t="s">
        <v>86</v>
      </c>
      <c r="N2" s="81" t="s">
        <v>96</v>
      </c>
      <c r="O2" s="81" t="s">
        <v>87</v>
      </c>
    </row>
    <row r="3" spans="2:15" ht="46.9" customHeight="1" thickBot="1" x14ac:dyDescent="0.3">
      <c r="B3" s="188" t="s">
        <v>75</v>
      </c>
      <c r="C3" s="183" t="s">
        <v>15</v>
      </c>
      <c r="D3" s="183" t="s">
        <v>16</v>
      </c>
      <c r="E3" s="184"/>
      <c r="M3" s="45" t="e">
        <f>Kiutazások!G7*Kiutazások!K7</f>
        <v>#VALUE!</v>
      </c>
      <c r="N3" s="45" t="e">
        <f>Kiutazások!G7*Kiutazások!J7</f>
        <v>#VALUE!</v>
      </c>
      <c r="O3" s="45" t="str">
        <f>IF(Kiutazások!B7=Segédlet!$J$5,IF(Kiutazások!E7&lt;10,Kiutazások!E7*Kiutazások!K7,10*Kiutazások!K7),"")</f>
        <v/>
      </c>
    </row>
    <row r="4" spans="2:15" ht="40.5" customHeight="1" x14ac:dyDescent="0.25">
      <c r="B4" s="188"/>
      <c r="C4" s="183"/>
      <c r="D4" s="3" t="s">
        <v>13</v>
      </c>
      <c r="E4" s="5" t="s">
        <v>14</v>
      </c>
      <c r="G4" s="12" t="s">
        <v>6</v>
      </c>
      <c r="H4" s="13" t="s">
        <v>7</v>
      </c>
      <c r="J4" s="14" t="s">
        <v>53</v>
      </c>
      <c r="M4" s="45" t="e">
        <f>Kiutazások!G8*Kiutazások!K8</f>
        <v>#VALUE!</v>
      </c>
      <c r="N4" s="45" t="e">
        <f>Kiutazások!G8*Kiutazások!J8</f>
        <v>#VALUE!</v>
      </c>
      <c r="O4" s="45" t="str">
        <f>IF(Kiutazások!B8=Segédlet!$J$5,IF(Kiutazások!E8&lt;10,Kiutazások!E8*Kiutazások!K8,10*Kiutazások!K8),"")</f>
        <v/>
      </c>
    </row>
    <row r="5" spans="2:15" x14ac:dyDescent="0.25">
      <c r="B5" s="39" t="str">
        <f>IF(D5=126,"1. országcsoport",IF(D5=112,"2. országcsoport","3. országcsoport"))</f>
        <v>2. országcsoport</v>
      </c>
      <c r="C5" s="38" t="s">
        <v>17</v>
      </c>
      <c r="D5" s="4">
        <v>112</v>
      </c>
      <c r="E5" s="6">
        <v>78</v>
      </c>
      <c r="G5" s="9" t="s">
        <v>49</v>
      </c>
      <c r="H5" s="1">
        <v>0</v>
      </c>
      <c r="J5" s="15" t="s">
        <v>57</v>
      </c>
      <c r="M5" s="45" t="e">
        <f>Kiutazások!G9*Kiutazások!K9</f>
        <v>#VALUE!</v>
      </c>
      <c r="N5" s="45" t="e">
        <f>Kiutazások!G9*Kiutazások!J9</f>
        <v>#VALUE!</v>
      </c>
      <c r="O5" s="45" t="str">
        <f>IF(Kiutazások!B9=Segédlet!$J$5,IF(Kiutazások!E9&lt;10,Kiutazások!E9*Kiutazások!K9,10*Kiutazások!K9),"")</f>
        <v/>
      </c>
    </row>
    <row r="6" spans="2:15" x14ac:dyDescent="0.25">
      <c r="B6" s="39" t="str">
        <f t="shared" ref="B6:B37" si="0">IF(D6=126,"1. országcsoport",IF(D6=112,"2. országcsoport","3. országcsoport"))</f>
        <v>2. országcsoport</v>
      </c>
      <c r="C6" s="38" t="s">
        <v>18</v>
      </c>
      <c r="D6" s="4">
        <v>112</v>
      </c>
      <c r="E6" s="6">
        <v>78</v>
      </c>
      <c r="G6" s="9" t="s">
        <v>50</v>
      </c>
      <c r="H6" s="1">
        <v>20</v>
      </c>
      <c r="J6" s="15" t="s">
        <v>55</v>
      </c>
      <c r="M6" s="45" t="e">
        <f>Kiutazások!G10*Kiutazások!K10</f>
        <v>#VALUE!</v>
      </c>
      <c r="N6" s="45" t="e">
        <f>Kiutazások!G10*Kiutazások!J10</f>
        <v>#VALUE!</v>
      </c>
      <c r="O6" s="45" t="str">
        <f>IF(Kiutazások!B10=Segédlet!$J$5,IF(Kiutazások!E10&lt;10,Kiutazások!E10*Kiutazások!K10,10*Kiutazások!K10),"")</f>
        <v/>
      </c>
    </row>
    <row r="7" spans="2:15" ht="15.75" thickBot="1" x14ac:dyDescent="0.3">
      <c r="B7" s="39" t="str">
        <f t="shared" si="0"/>
        <v>3. országcsoport</v>
      </c>
      <c r="C7" s="38" t="s">
        <v>19</v>
      </c>
      <c r="D7" s="4">
        <v>98</v>
      </c>
      <c r="E7" s="6">
        <v>69</v>
      </c>
      <c r="G7" s="9" t="s">
        <v>8</v>
      </c>
      <c r="H7" s="1">
        <v>180</v>
      </c>
      <c r="J7" s="16" t="s">
        <v>56</v>
      </c>
      <c r="M7" s="45" t="e">
        <f>Kiutazások!G11*Kiutazások!K11</f>
        <v>#VALUE!</v>
      </c>
      <c r="N7" s="45" t="e">
        <f>Kiutazások!G11*Kiutazások!J11</f>
        <v>#VALUE!</v>
      </c>
      <c r="O7" s="45" t="str">
        <f>IF(Kiutazások!B11=Segédlet!$J$5,IF(Kiutazások!E11&lt;10,Kiutazások!E11*Kiutazások!K11,10*Kiutazások!K11),"")</f>
        <v/>
      </c>
    </row>
    <row r="8" spans="2:15" x14ac:dyDescent="0.25">
      <c r="B8" s="39" t="str">
        <f t="shared" si="0"/>
        <v>2. országcsoport</v>
      </c>
      <c r="C8" s="38" t="s">
        <v>20</v>
      </c>
      <c r="D8" s="4">
        <v>112</v>
      </c>
      <c r="E8" s="6">
        <v>78</v>
      </c>
      <c r="G8" s="9" t="s">
        <v>9</v>
      </c>
      <c r="H8" s="1">
        <v>275</v>
      </c>
      <c r="M8" s="45" t="e">
        <f>Kiutazások!G12*Kiutazások!K12</f>
        <v>#VALUE!</v>
      </c>
      <c r="N8" s="45" t="e">
        <f>Kiutazások!G12*Kiutazások!J12</f>
        <v>#VALUE!</v>
      </c>
      <c r="O8" s="45" t="str">
        <f>IF(Kiutazások!B12=Segédlet!$J$5,IF(Kiutazások!E12&lt;10,Kiutazások!E12*Kiutazások!K12,10*Kiutazások!K12),"")</f>
        <v/>
      </c>
    </row>
    <row r="9" spans="2:15" x14ac:dyDescent="0.25">
      <c r="B9" s="39" t="str">
        <f t="shared" si="0"/>
        <v>3. országcsoport</v>
      </c>
      <c r="C9" s="38" t="s">
        <v>21</v>
      </c>
      <c r="D9" s="4">
        <v>98</v>
      </c>
      <c r="E9" s="6">
        <v>69</v>
      </c>
      <c r="G9" s="9" t="s">
        <v>10</v>
      </c>
      <c r="H9" s="1">
        <v>360</v>
      </c>
      <c r="M9" s="45" t="e">
        <f>Kiutazások!G13*Kiutazások!K13</f>
        <v>#VALUE!</v>
      </c>
      <c r="N9" s="45" t="e">
        <f>Kiutazások!G13*Kiutazások!J13</f>
        <v>#VALUE!</v>
      </c>
      <c r="O9" s="45" t="str">
        <f>IF(Kiutazások!B13=Segédlet!$J$5,IF(Kiutazások!E13&lt;10,Kiutazások!E13*Kiutazások!K13,10*Kiutazások!K13),"")</f>
        <v/>
      </c>
    </row>
    <row r="10" spans="2:15" x14ac:dyDescent="0.25">
      <c r="B10" s="39" t="str">
        <f t="shared" si="0"/>
        <v>2. országcsoport</v>
      </c>
      <c r="C10" s="38" t="s">
        <v>22</v>
      </c>
      <c r="D10" s="4">
        <v>112</v>
      </c>
      <c r="E10" s="6">
        <v>78</v>
      </c>
      <c r="G10" s="9" t="s">
        <v>11</v>
      </c>
      <c r="H10" s="1">
        <v>530</v>
      </c>
      <c r="M10" s="45" t="e">
        <f>Kiutazások!G14*Kiutazások!K14</f>
        <v>#VALUE!</v>
      </c>
      <c r="N10" s="45" t="e">
        <f>Kiutazások!G14*Kiutazások!J14</f>
        <v>#VALUE!</v>
      </c>
      <c r="O10" s="45" t="str">
        <f>IF(Kiutazások!B14=Segédlet!$J$5,IF(Kiutazások!E14&lt;10,Kiutazások!E14*Kiutazások!K14,10*Kiutazások!K14),"")</f>
        <v/>
      </c>
    </row>
    <row r="11" spans="2:15" x14ac:dyDescent="0.25">
      <c r="B11" s="39" t="str">
        <f t="shared" si="0"/>
        <v>1. országcsoport</v>
      </c>
      <c r="C11" s="38" t="s">
        <v>23</v>
      </c>
      <c r="D11" s="4">
        <v>126</v>
      </c>
      <c r="E11" s="6">
        <v>88</v>
      </c>
      <c r="G11" s="9" t="s">
        <v>12</v>
      </c>
      <c r="H11" s="1">
        <v>820</v>
      </c>
      <c r="M11" s="45" t="e">
        <f>Kiutazások!G15*Kiutazások!K15</f>
        <v>#VALUE!</v>
      </c>
      <c r="N11" s="45" t="e">
        <f>Kiutazások!G15*Kiutazások!J15</f>
        <v>#VALUE!</v>
      </c>
      <c r="O11" s="45" t="str">
        <f>IF(Kiutazások!B15=Segédlet!$J$5,IF(Kiutazások!E15&lt;10,Kiutazások!E15*Kiutazások!K15,10*Kiutazások!K15),"")</f>
        <v/>
      </c>
    </row>
    <row r="12" spans="2:15" ht="15.75" thickBot="1" x14ac:dyDescent="0.3">
      <c r="B12" s="39" t="str">
        <f t="shared" si="0"/>
        <v>3. országcsoport</v>
      </c>
      <c r="C12" s="38" t="s">
        <v>24</v>
      </c>
      <c r="D12" s="4">
        <v>98</v>
      </c>
      <c r="E12" s="6">
        <v>69</v>
      </c>
      <c r="G12" s="10" t="s">
        <v>51</v>
      </c>
      <c r="H12" s="2">
        <v>1500</v>
      </c>
      <c r="M12" s="45" t="e">
        <f>Kiutazások!G16*Kiutazások!K16</f>
        <v>#VALUE!</v>
      </c>
      <c r="N12" s="45" t="e">
        <f>Kiutazások!G16*Kiutazások!J16</f>
        <v>#VALUE!</v>
      </c>
      <c r="O12" s="45" t="str">
        <f>IF(Kiutazások!B16=Segédlet!$J$5,IF(Kiutazások!E16&lt;10,Kiutazások!E16*Kiutazások!K16,10*Kiutazások!K16),"")</f>
        <v/>
      </c>
    </row>
    <row r="13" spans="2:15" x14ac:dyDescent="0.25">
      <c r="B13" s="39" t="str">
        <f t="shared" si="0"/>
        <v>2. országcsoport</v>
      </c>
      <c r="C13" s="38" t="s">
        <v>25</v>
      </c>
      <c r="D13" s="4">
        <v>112</v>
      </c>
      <c r="E13" s="6">
        <v>78</v>
      </c>
      <c r="M13" s="45" t="e">
        <f>Kiutazások!G17*Kiutazások!K17</f>
        <v>#VALUE!</v>
      </c>
      <c r="N13" s="45" t="e">
        <f>Kiutazások!G17*Kiutazások!J17</f>
        <v>#VALUE!</v>
      </c>
      <c r="O13" s="45" t="str">
        <f>IF(Kiutazások!B17=Segédlet!$J$5,IF(Kiutazások!E17&lt;10,Kiutazások!E17*Kiutazások!K17,10*Kiutazások!K17),"")</f>
        <v/>
      </c>
    </row>
    <row r="14" spans="2:15" x14ac:dyDescent="0.25">
      <c r="B14" s="39" t="str">
        <f t="shared" si="0"/>
        <v>2. országcsoport</v>
      </c>
      <c r="C14" s="38" t="s">
        <v>26</v>
      </c>
      <c r="D14" s="4">
        <v>112</v>
      </c>
      <c r="E14" s="6">
        <v>78</v>
      </c>
      <c r="M14" s="45" t="e">
        <f>Kiutazások!G18*Kiutazások!K18</f>
        <v>#VALUE!</v>
      </c>
      <c r="N14" s="45" t="e">
        <f>Kiutazások!G18*Kiutazások!J18</f>
        <v>#VALUE!</v>
      </c>
      <c r="O14" s="45" t="str">
        <f>IF(Kiutazások!B18=Segédlet!$J$5,IF(Kiutazások!E18&lt;10,Kiutazások!E18*Kiutazások!K18,10*Kiutazások!K18),"")</f>
        <v/>
      </c>
    </row>
    <row r="15" spans="2:15" x14ac:dyDescent="0.25">
      <c r="B15" s="39" t="str">
        <f t="shared" si="0"/>
        <v>1. országcsoport</v>
      </c>
      <c r="C15" s="38" t="s">
        <v>27</v>
      </c>
      <c r="D15" s="4">
        <v>126</v>
      </c>
      <c r="E15" s="6">
        <v>88</v>
      </c>
      <c r="M15" s="45" t="e">
        <f>Kiutazások!G19*Kiutazások!K19</f>
        <v>#VALUE!</v>
      </c>
      <c r="N15" s="45" t="e">
        <f>Kiutazások!G19*Kiutazások!J19</f>
        <v>#VALUE!</v>
      </c>
      <c r="O15" s="45" t="str">
        <f>IF(Kiutazások!B19=Segédlet!$J$5,IF(Kiutazások!E19&lt;10,Kiutazások!E19*Kiutazások!K19,10*Kiutazások!K19),"")</f>
        <v/>
      </c>
    </row>
    <row r="16" spans="2:15" x14ac:dyDescent="0.25">
      <c r="B16" s="39" t="str">
        <f t="shared" si="0"/>
        <v>2. országcsoport</v>
      </c>
      <c r="C16" s="38" t="s">
        <v>28</v>
      </c>
      <c r="D16" s="4">
        <v>112</v>
      </c>
      <c r="E16" s="6">
        <v>78</v>
      </c>
      <c r="M16" s="45" t="e">
        <f>Kiutazások!G20*Kiutazások!K20</f>
        <v>#VALUE!</v>
      </c>
      <c r="N16" s="45" t="e">
        <f>Kiutazások!G20*Kiutazások!J20</f>
        <v>#VALUE!</v>
      </c>
      <c r="O16" s="45" t="str">
        <f>IF(Kiutazások!B20=Segédlet!$J$5,IF(Kiutazások!E20&lt;10,Kiutazások!E20*Kiutazások!K20,10*Kiutazások!K20),"")</f>
        <v/>
      </c>
    </row>
    <row r="17" spans="2:15" x14ac:dyDescent="0.25">
      <c r="B17" s="39" t="str">
        <f t="shared" si="0"/>
        <v>3. országcsoport</v>
      </c>
      <c r="C17" s="38" t="s">
        <v>29</v>
      </c>
      <c r="D17" s="4">
        <v>98</v>
      </c>
      <c r="E17" s="6">
        <v>69</v>
      </c>
      <c r="M17" s="45" t="e">
        <f>Kiutazások!G21*Kiutazások!K21</f>
        <v>#VALUE!</v>
      </c>
      <c r="N17" s="45" t="e">
        <f>Kiutazások!G21*Kiutazások!J21</f>
        <v>#VALUE!</v>
      </c>
      <c r="O17" s="45" t="str">
        <f>IF(Kiutazások!B21=Segédlet!$J$5,IF(Kiutazások!E21&lt;10,Kiutazások!E21*Kiutazások!K21,10*Kiutazások!K21),"")</f>
        <v/>
      </c>
    </row>
    <row r="18" spans="2:15" x14ac:dyDescent="0.25">
      <c r="B18" s="39" t="str">
        <f t="shared" si="0"/>
        <v>1. országcsoport</v>
      </c>
      <c r="C18" s="38" t="s">
        <v>30</v>
      </c>
      <c r="D18" s="4">
        <v>126</v>
      </c>
      <c r="E18" s="6">
        <v>88</v>
      </c>
      <c r="M18" s="45" t="e">
        <f>Kiutazások!G22*Kiutazások!K22</f>
        <v>#VALUE!</v>
      </c>
      <c r="N18" s="45" t="e">
        <f>Kiutazások!G22*Kiutazások!J22</f>
        <v>#VALUE!</v>
      </c>
      <c r="O18" s="45" t="str">
        <f>IF(Kiutazások!B22=Segédlet!$J$5,IF(Kiutazások!E22&lt;10,Kiutazások!E22*Kiutazások!K22,10*Kiutazások!K22),"")</f>
        <v/>
      </c>
    </row>
    <row r="19" spans="2:15" x14ac:dyDescent="0.25">
      <c r="B19" s="39" t="str">
        <f t="shared" si="0"/>
        <v>1. országcsoport</v>
      </c>
      <c r="C19" s="38" t="s">
        <v>31</v>
      </c>
      <c r="D19" s="4">
        <v>126</v>
      </c>
      <c r="E19" s="6">
        <v>88</v>
      </c>
      <c r="M19" s="45" t="e">
        <f>Kiutazások!G23*Kiutazások!K23</f>
        <v>#VALUE!</v>
      </c>
      <c r="N19" s="45" t="e">
        <f>Kiutazások!G23*Kiutazások!J23</f>
        <v>#VALUE!</v>
      </c>
      <c r="O19" s="45" t="str">
        <f>IF(Kiutazások!B23=Segédlet!$J$5,IF(Kiutazások!E23&lt;10,Kiutazások!E23*Kiutazások!K23,10*Kiutazások!K23),"")</f>
        <v/>
      </c>
    </row>
    <row r="20" spans="2:15" x14ac:dyDescent="0.25">
      <c r="B20" s="39" t="str">
        <f t="shared" si="0"/>
        <v>2. országcsoport</v>
      </c>
      <c r="C20" s="38" t="s">
        <v>32</v>
      </c>
      <c r="D20" s="4">
        <v>112</v>
      </c>
      <c r="E20" s="6">
        <v>78</v>
      </c>
      <c r="M20" s="45" t="e">
        <f>Kiutazások!G24*Kiutazások!K24</f>
        <v>#VALUE!</v>
      </c>
      <c r="N20" s="45" t="e">
        <f>Kiutazások!G24*Kiutazások!J24</f>
        <v>#VALUE!</v>
      </c>
      <c r="O20" s="45" t="str">
        <f>IF(Kiutazások!B24=Segédlet!$J$5,IF(Kiutazások!E24&lt;10,Kiutazások!E24*Kiutazások!K24,10*Kiutazások!K24),"")</f>
        <v/>
      </c>
    </row>
    <row r="21" spans="2:15" x14ac:dyDescent="0.25">
      <c r="B21" s="39" t="str">
        <f t="shared" si="0"/>
        <v>1. országcsoport</v>
      </c>
      <c r="C21" s="38" t="s">
        <v>33</v>
      </c>
      <c r="D21" s="4">
        <v>126</v>
      </c>
      <c r="E21" s="6">
        <v>88</v>
      </c>
      <c r="M21" s="45" t="e">
        <f>Kiutazások!G25*Kiutazások!K25</f>
        <v>#VALUE!</v>
      </c>
      <c r="N21" s="45" t="e">
        <f>Kiutazások!G25*Kiutazások!J25</f>
        <v>#VALUE!</v>
      </c>
      <c r="O21" s="45" t="str">
        <f>IF(Kiutazások!B25=Segédlet!$J$5,IF(Kiutazások!E25&lt;10,Kiutazások!E25*Kiutazások!K25,10*Kiutazások!K25),"")</f>
        <v/>
      </c>
    </row>
    <row r="22" spans="2:15" x14ac:dyDescent="0.25">
      <c r="B22" s="39" t="str">
        <f t="shared" si="0"/>
        <v>3. országcsoport</v>
      </c>
      <c r="C22" s="38" t="s">
        <v>34</v>
      </c>
      <c r="D22" s="4">
        <v>98</v>
      </c>
      <c r="E22" s="6">
        <v>69</v>
      </c>
      <c r="M22" s="45" t="e">
        <f>Kiutazások!G26*Kiutazások!K26</f>
        <v>#VALUE!</v>
      </c>
      <c r="N22" s="45" t="e">
        <f>Kiutazások!G26*Kiutazások!J26</f>
        <v>#VALUE!</v>
      </c>
      <c r="O22" s="45" t="str">
        <f>IF(Kiutazások!B26=Segédlet!$J$5,IF(Kiutazások!E26&lt;10,Kiutazások!E26*Kiutazások!K26,10*Kiutazások!K26),"")</f>
        <v/>
      </c>
    </row>
    <row r="23" spans="2:15" x14ac:dyDescent="0.25">
      <c r="B23" s="39" t="str">
        <f t="shared" si="0"/>
        <v>1. országcsoport</v>
      </c>
      <c r="C23" s="38" t="s">
        <v>35</v>
      </c>
      <c r="D23" s="4">
        <v>126</v>
      </c>
      <c r="E23" s="6">
        <v>88</v>
      </c>
      <c r="H23" s="11"/>
      <c r="M23" s="45" t="e">
        <f>Kiutazások!G27*Kiutazások!K27</f>
        <v>#VALUE!</v>
      </c>
      <c r="N23" s="45" t="e">
        <f>Kiutazások!G27*Kiutazások!J27</f>
        <v>#VALUE!</v>
      </c>
      <c r="O23" s="45" t="str">
        <f>IF(Kiutazások!B27=Segédlet!$J$5,IF(Kiutazások!E27&lt;10,Kiutazások!E27*Kiutazások!K27,10*Kiutazások!K27),"")</f>
        <v/>
      </c>
    </row>
    <row r="24" spans="2:15" x14ac:dyDescent="0.25">
      <c r="B24" s="39" t="str">
        <f t="shared" si="0"/>
        <v>3. országcsoport</v>
      </c>
      <c r="C24" s="38" t="s">
        <v>36</v>
      </c>
      <c r="D24" s="4">
        <v>98</v>
      </c>
      <c r="E24" s="6">
        <v>69</v>
      </c>
      <c r="M24" s="45" t="e">
        <f>Kiutazások!G28*Kiutazások!K28</f>
        <v>#VALUE!</v>
      </c>
      <c r="N24" s="45" t="e">
        <f>Kiutazások!G28*Kiutazások!J28</f>
        <v>#VALUE!</v>
      </c>
      <c r="O24" s="45" t="str">
        <f>IF(Kiutazások!B28=Segédlet!$J$5,IF(Kiutazások!E28&lt;10,Kiutazások!E28*Kiutazások!K28,10*Kiutazások!K28),"")</f>
        <v/>
      </c>
    </row>
    <row r="25" spans="2:15" x14ac:dyDescent="0.25">
      <c r="B25" s="39" t="str">
        <f t="shared" si="0"/>
        <v>3. országcsoport</v>
      </c>
      <c r="C25" s="38" t="s">
        <v>37</v>
      </c>
      <c r="D25" s="4">
        <v>98</v>
      </c>
      <c r="E25" s="6">
        <v>69</v>
      </c>
      <c r="M25" s="45" t="e">
        <f>Kiutazások!G29*Kiutazások!K29</f>
        <v>#VALUE!</v>
      </c>
      <c r="N25" s="45" t="e">
        <f>Kiutazások!G29*Kiutazások!J29</f>
        <v>#VALUE!</v>
      </c>
      <c r="O25" s="45" t="str">
        <f>IF(Kiutazások!B29=Segédlet!$J$5,IF(Kiutazások!E29&lt;10,Kiutazások!E29*Kiutazások!K29,10*Kiutazások!K29),"")</f>
        <v/>
      </c>
    </row>
    <row r="26" spans="2:15" x14ac:dyDescent="0.25">
      <c r="B26" s="39" t="str">
        <f t="shared" si="0"/>
        <v>2. országcsoport</v>
      </c>
      <c r="C26" s="38" t="s">
        <v>38</v>
      </c>
      <c r="D26" s="4">
        <v>112</v>
      </c>
      <c r="E26" s="6">
        <v>78</v>
      </c>
      <c r="M26" s="45" t="e">
        <f>Kiutazások!G30*Kiutazások!K30</f>
        <v>#VALUE!</v>
      </c>
      <c r="N26" s="45" t="e">
        <f>Kiutazások!G30*Kiutazások!J30</f>
        <v>#VALUE!</v>
      </c>
      <c r="O26" s="45" t="str">
        <f>IF(Kiutazások!B30=Segédlet!$J$5,IF(Kiutazások!E30&lt;10,Kiutazások!E30*Kiutazások!K30,10*Kiutazások!K30),"")</f>
        <v/>
      </c>
    </row>
    <row r="27" spans="2:15" x14ac:dyDescent="0.25">
      <c r="B27" s="39" t="str">
        <f t="shared" si="0"/>
        <v>2. országcsoport</v>
      </c>
      <c r="C27" s="38" t="s">
        <v>39</v>
      </c>
      <c r="D27" s="4">
        <v>112</v>
      </c>
      <c r="E27" s="6">
        <v>78</v>
      </c>
      <c r="M27" s="45" t="e">
        <f>Kiutazások!G31*Kiutazások!K31</f>
        <v>#VALUE!</v>
      </c>
      <c r="N27" s="45" t="e">
        <f>Kiutazások!G31*Kiutazások!J31</f>
        <v>#VALUE!</v>
      </c>
      <c r="O27" s="45" t="str">
        <f>IF(Kiutazások!B31=Segédlet!$J$5,IF(Kiutazások!E31&lt;10,Kiutazások!E31*Kiutazások!K31,10*Kiutazások!K31),"")</f>
        <v/>
      </c>
    </row>
    <row r="28" spans="2:15" x14ac:dyDescent="0.25">
      <c r="B28" s="39" t="str">
        <f t="shared" si="0"/>
        <v>1. országcsoport</v>
      </c>
      <c r="C28" s="38" t="s">
        <v>40</v>
      </c>
      <c r="D28" s="4">
        <v>126</v>
      </c>
      <c r="E28" s="6">
        <v>88</v>
      </c>
      <c r="M28" s="45" t="e">
        <f>Kiutazások!G32*Kiutazások!K32</f>
        <v>#VALUE!</v>
      </c>
      <c r="N28" s="45" t="e">
        <f>Kiutazások!G32*Kiutazások!J32</f>
        <v>#VALUE!</v>
      </c>
      <c r="O28" s="45" t="str">
        <f>IF(Kiutazások!B32=Segédlet!$J$5,IF(Kiutazások!E32&lt;10,Kiutazások!E32*Kiutazások!K32,10*Kiutazások!K32),"")</f>
        <v/>
      </c>
    </row>
    <row r="29" spans="2:15" x14ac:dyDescent="0.25">
      <c r="B29" s="39" t="str">
        <f t="shared" si="0"/>
        <v>3. országcsoport</v>
      </c>
      <c r="C29" s="38" t="s">
        <v>41</v>
      </c>
      <c r="D29" s="4">
        <v>98</v>
      </c>
      <c r="E29" s="6">
        <v>69</v>
      </c>
      <c r="M29" s="45" t="e">
        <f>Kiutazások!G33*Kiutazások!K33</f>
        <v>#VALUE!</v>
      </c>
      <c r="N29" s="45" t="e">
        <f>Kiutazások!G33*Kiutazások!J33</f>
        <v>#VALUE!</v>
      </c>
      <c r="O29" s="45" t="str">
        <f>IF(Kiutazások!B33=Segédlet!$J$5,IF(Kiutazások!E33&lt;10,Kiutazások!E33*Kiutazások!K33,10*Kiutazások!K33),"")</f>
        <v/>
      </c>
    </row>
    <row r="30" spans="2:15" x14ac:dyDescent="0.25">
      <c r="B30" s="39" t="str">
        <f t="shared" si="0"/>
        <v>2. országcsoport</v>
      </c>
      <c r="C30" s="38" t="s">
        <v>42</v>
      </c>
      <c r="D30" s="4">
        <v>112</v>
      </c>
      <c r="E30" s="6">
        <v>78</v>
      </c>
      <c r="M30" s="45" t="e">
        <f>Kiutazások!G34*Kiutazások!K34</f>
        <v>#VALUE!</v>
      </c>
      <c r="N30" s="45" t="e">
        <f>Kiutazások!G34*Kiutazások!J34</f>
        <v>#VALUE!</v>
      </c>
      <c r="O30" s="45" t="str">
        <f>IF(Kiutazások!B34=Segédlet!$J$5,IF(Kiutazások!E34&lt;10,Kiutazások!E34*Kiutazások!K34,10*Kiutazások!K34),"")</f>
        <v/>
      </c>
    </row>
    <row r="31" spans="2:15" x14ac:dyDescent="0.25">
      <c r="B31" s="39" t="str">
        <f t="shared" si="0"/>
        <v>3. országcsoport</v>
      </c>
      <c r="C31" s="38" t="s">
        <v>43</v>
      </c>
      <c r="D31" s="4">
        <v>98</v>
      </c>
      <c r="E31" s="6">
        <v>69</v>
      </c>
      <c r="M31" s="45" t="e">
        <f>Kiutazások!G35*Kiutazások!K35</f>
        <v>#VALUE!</v>
      </c>
      <c r="N31" s="45" t="e">
        <f>Kiutazások!G35*Kiutazások!J35</f>
        <v>#VALUE!</v>
      </c>
      <c r="O31" s="45" t="str">
        <f>IF(Kiutazások!B35=Segédlet!$J$5,IF(Kiutazások!E35&lt;10,Kiutazások!E35*Kiutazások!K35,10*Kiutazások!K35),"")</f>
        <v/>
      </c>
    </row>
    <row r="32" spans="2:15" x14ac:dyDescent="0.25">
      <c r="B32" s="39" t="str">
        <f t="shared" si="0"/>
        <v>1. országcsoport</v>
      </c>
      <c r="C32" s="38" t="s">
        <v>44</v>
      </c>
      <c r="D32" s="4">
        <v>126</v>
      </c>
      <c r="E32" s="6">
        <v>88</v>
      </c>
      <c r="M32" s="45" t="e">
        <f>Kiutazások!G36*Kiutazások!K36</f>
        <v>#VALUE!</v>
      </c>
      <c r="N32" s="45" t="e">
        <f>Kiutazások!G36*Kiutazások!J36</f>
        <v>#VALUE!</v>
      </c>
      <c r="O32" s="45" t="str">
        <f>IF(Kiutazások!B36=Segédlet!$J$5,IF(Kiutazások!E36&lt;10,Kiutazások!E36*Kiutazások!K36,10*Kiutazások!K36),"")</f>
        <v/>
      </c>
    </row>
    <row r="33" spans="2:15" x14ac:dyDescent="0.25">
      <c r="B33" s="39" t="str">
        <f t="shared" si="0"/>
        <v>3. országcsoport</v>
      </c>
      <c r="C33" s="38" t="s">
        <v>52</v>
      </c>
      <c r="D33" s="4">
        <v>98</v>
      </c>
      <c r="E33" s="6">
        <v>69</v>
      </c>
      <c r="M33" s="45" t="e">
        <f>Kiutazások!G37*Kiutazások!K37</f>
        <v>#VALUE!</v>
      </c>
      <c r="N33" s="45" t="e">
        <f>Kiutazások!G37*Kiutazások!J37</f>
        <v>#VALUE!</v>
      </c>
      <c r="O33" s="45" t="str">
        <f>IF(Kiutazások!B37=Segédlet!$J$5,IF(Kiutazások!E37&lt;10,Kiutazások!E37*Kiutazások!K37,10*Kiutazások!K37),"")</f>
        <v/>
      </c>
    </row>
    <row r="34" spans="2:15" x14ac:dyDescent="0.25">
      <c r="B34" s="39" t="str">
        <f t="shared" si="0"/>
        <v>3. országcsoport</v>
      </c>
      <c r="C34" s="38" t="s">
        <v>45</v>
      </c>
      <c r="D34" s="4">
        <v>98</v>
      </c>
      <c r="E34" s="6">
        <v>69</v>
      </c>
      <c r="M34" s="45" t="e">
        <f>Kiutazások!G38*Kiutazások!K38</f>
        <v>#VALUE!</v>
      </c>
      <c r="N34" s="45" t="e">
        <f>Kiutazások!G38*Kiutazások!J38</f>
        <v>#VALUE!</v>
      </c>
      <c r="O34" s="45" t="str">
        <f>IF(Kiutazások!B38=Segédlet!$J$5,IF(Kiutazások!E38&lt;10,Kiutazások!E38*Kiutazások!K38,10*Kiutazások!K38),"")</f>
        <v/>
      </c>
    </row>
    <row r="35" spans="2:15" x14ac:dyDescent="0.25">
      <c r="B35" s="39" t="str">
        <f t="shared" si="0"/>
        <v>3. országcsoport</v>
      </c>
      <c r="C35" s="38" t="s">
        <v>46</v>
      </c>
      <c r="D35" s="4">
        <v>98</v>
      </c>
      <c r="E35" s="6">
        <v>69</v>
      </c>
      <c r="M35" s="45" t="e">
        <f>Kiutazások!G39*Kiutazások!K39</f>
        <v>#VALUE!</v>
      </c>
      <c r="N35" s="45" t="e">
        <f>Kiutazások!G39*Kiutazások!J39</f>
        <v>#VALUE!</v>
      </c>
      <c r="O35" s="45" t="str">
        <f>IF(Kiutazások!B39=Segédlet!$J$5,IF(Kiutazások!E39&lt;10,Kiutazások!E39*Kiutazások!K39,10*Kiutazások!K39),"")</f>
        <v/>
      </c>
    </row>
    <row r="36" spans="2:15" x14ac:dyDescent="0.25">
      <c r="B36" s="39" t="str">
        <f t="shared" si="0"/>
        <v>3. országcsoport</v>
      </c>
      <c r="C36" s="38" t="s">
        <v>47</v>
      </c>
      <c r="D36" s="4">
        <v>98</v>
      </c>
      <c r="E36" s="6">
        <v>69</v>
      </c>
      <c r="M36" s="45" t="e">
        <f>Kiutazások!G40*Kiutazások!K40</f>
        <v>#VALUE!</v>
      </c>
      <c r="N36" s="45" t="e">
        <f>Kiutazások!G40*Kiutazások!J40</f>
        <v>#VALUE!</v>
      </c>
      <c r="O36" s="45" t="str">
        <f>IF(Kiutazások!B40=Segédlet!$J$5,IF(Kiutazások!E40&lt;10,Kiutazások!E40*Kiutazások!K40,10*Kiutazások!K40),"")</f>
        <v/>
      </c>
    </row>
    <row r="37" spans="2:15" ht="15.75" thickBot="1" x14ac:dyDescent="0.3">
      <c r="B37" s="40" t="str">
        <f t="shared" si="0"/>
        <v>1. országcsoport</v>
      </c>
      <c r="C37" s="41" t="s">
        <v>48</v>
      </c>
      <c r="D37" s="7">
        <v>126</v>
      </c>
      <c r="E37" s="8">
        <v>88</v>
      </c>
      <c r="M37" s="45" t="e">
        <f>Kiutazások!G41*Kiutazások!K41</f>
        <v>#VALUE!</v>
      </c>
      <c r="N37" s="45" t="e">
        <f>Kiutazások!G41*Kiutazások!J41</f>
        <v>#VALUE!</v>
      </c>
      <c r="O37" s="45" t="str">
        <f>IF(Kiutazások!B41=Segédlet!$J$5,IF(Kiutazások!E41&lt;10,Kiutazások!E41*Kiutazások!K41,10*Kiutazások!K41),"")</f>
        <v/>
      </c>
    </row>
    <row r="38" spans="2:15" x14ac:dyDescent="0.25">
      <c r="M38" s="45" t="e">
        <f>Kiutazások!G42*Kiutazások!K42</f>
        <v>#VALUE!</v>
      </c>
      <c r="N38" s="45" t="e">
        <f>Kiutazások!G42*Kiutazások!J42</f>
        <v>#VALUE!</v>
      </c>
      <c r="O38" s="45" t="str">
        <f>IF(Kiutazások!B42=Segédlet!$J$5,IF(Kiutazások!E42&lt;10,Kiutazások!E42*Kiutazások!K42,10*Kiutazások!K42),"")</f>
        <v/>
      </c>
    </row>
    <row r="39" spans="2:15" x14ac:dyDescent="0.25">
      <c r="M39" s="45" t="e">
        <f>Kiutazások!G43*Kiutazások!K43</f>
        <v>#VALUE!</v>
      </c>
      <c r="N39" s="45" t="e">
        <f>Kiutazások!G43*Kiutazások!J43</f>
        <v>#VALUE!</v>
      </c>
      <c r="O39" s="45" t="str">
        <f>IF(Kiutazások!B43=Segédlet!$J$5,IF(Kiutazások!E43&lt;10,Kiutazások!E43*Kiutazások!K43,10*Kiutazások!K43),"")</f>
        <v/>
      </c>
    </row>
    <row r="40" spans="2:15" x14ac:dyDescent="0.25">
      <c r="M40" s="45" t="e">
        <f>Kiutazások!G44*Kiutazások!K44</f>
        <v>#VALUE!</v>
      </c>
      <c r="N40" s="45" t="e">
        <f>Kiutazások!G44*Kiutazások!J44</f>
        <v>#VALUE!</v>
      </c>
      <c r="O40" s="45" t="str">
        <f>IF(Kiutazások!B44=Segédlet!$J$5,IF(Kiutazások!E44&lt;10,Kiutazások!E44*Kiutazások!K44,10*Kiutazások!K44),"")</f>
        <v/>
      </c>
    </row>
    <row r="41" spans="2:15" x14ac:dyDescent="0.25">
      <c r="M41" s="45" t="e">
        <f>Kiutazások!G45*Kiutazások!K45</f>
        <v>#VALUE!</v>
      </c>
      <c r="N41" s="45" t="e">
        <f>Kiutazások!G45*Kiutazások!J45</f>
        <v>#VALUE!</v>
      </c>
      <c r="O41" s="45" t="str">
        <f>IF(Kiutazások!B45=Segédlet!$J$5,IF(Kiutazások!E45&lt;10,Kiutazások!E45*Kiutazások!K45,10*Kiutazások!K45),"")</f>
        <v/>
      </c>
    </row>
    <row r="42" spans="2:15" x14ac:dyDescent="0.25">
      <c r="M42" s="45" t="e">
        <f>Kiutazások!G46*Kiutazások!K46</f>
        <v>#VALUE!</v>
      </c>
      <c r="N42" s="45" t="e">
        <f>Kiutazások!G46*Kiutazások!J46</f>
        <v>#VALUE!</v>
      </c>
      <c r="O42" s="45" t="str">
        <f>IF(Kiutazások!B46=Segédlet!$J$5,IF(Kiutazások!E46&lt;10,Kiutazások!E46*Kiutazások!K46,10*Kiutazások!K46),"")</f>
        <v/>
      </c>
    </row>
    <row r="43" spans="2:15" x14ac:dyDescent="0.25">
      <c r="M43" s="45" t="e">
        <f>Kiutazások!G47*Kiutazások!K47</f>
        <v>#VALUE!</v>
      </c>
      <c r="N43" s="45" t="e">
        <f>Kiutazások!G47*Kiutazások!J47</f>
        <v>#VALUE!</v>
      </c>
      <c r="O43" s="45" t="str">
        <f>IF(Kiutazások!B47=Segédlet!$J$5,IF(Kiutazások!E47&lt;10,Kiutazások!E47*Kiutazások!K47,10*Kiutazások!K47),"")</f>
        <v/>
      </c>
    </row>
    <row r="44" spans="2:15" x14ac:dyDescent="0.25">
      <c r="M44" s="45" t="e">
        <f>Kiutazások!G48*Kiutazások!K48</f>
        <v>#VALUE!</v>
      </c>
      <c r="N44" s="45" t="e">
        <f>Kiutazások!G48*Kiutazások!J48</f>
        <v>#VALUE!</v>
      </c>
      <c r="O44" s="45" t="str">
        <f>IF(Kiutazások!B48=Segédlet!$J$5,IF(Kiutazások!E48&lt;10,Kiutazások!E48*Kiutazások!K48,10*Kiutazások!K48),"")</f>
        <v/>
      </c>
    </row>
    <row r="45" spans="2:15" x14ac:dyDescent="0.25">
      <c r="M45" s="45" t="e">
        <f>Kiutazások!G49*Kiutazások!K49</f>
        <v>#VALUE!</v>
      </c>
      <c r="N45" s="45" t="e">
        <f>Kiutazások!G49*Kiutazások!J49</f>
        <v>#VALUE!</v>
      </c>
      <c r="O45" s="45" t="str">
        <f>IF(Kiutazások!B49=Segédlet!$J$5,IF(Kiutazások!E49&lt;10,Kiutazások!E49*Kiutazások!K49,10*Kiutazások!K49),"")</f>
        <v/>
      </c>
    </row>
    <row r="46" spans="2:15" x14ac:dyDescent="0.25">
      <c r="M46" s="45" t="e">
        <f>Kiutazások!G50*Kiutazások!K50</f>
        <v>#VALUE!</v>
      </c>
      <c r="N46" s="45" t="e">
        <f>Kiutazások!G50*Kiutazások!J50</f>
        <v>#VALUE!</v>
      </c>
      <c r="O46" s="45" t="str">
        <f>IF(Kiutazások!B50=Segédlet!$J$5,IF(Kiutazások!E50&lt;10,Kiutazások!E50*Kiutazások!K50,10*Kiutazások!K50),"")</f>
        <v/>
      </c>
    </row>
    <row r="47" spans="2:15" x14ac:dyDescent="0.25">
      <c r="M47" s="45" t="e">
        <f>Kiutazások!G51*Kiutazások!K51</f>
        <v>#VALUE!</v>
      </c>
      <c r="N47" s="45" t="e">
        <f>Kiutazások!G51*Kiutazások!J51</f>
        <v>#VALUE!</v>
      </c>
      <c r="O47" s="45" t="str">
        <f>IF(Kiutazások!B51=Segédlet!$J$5,IF(Kiutazások!E51&lt;10,Kiutazások!E51*Kiutazások!K51,10*Kiutazások!K51),"")</f>
        <v/>
      </c>
    </row>
    <row r="48" spans="2:15" x14ac:dyDescent="0.25">
      <c r="M48" s="45" t="e">
        <f>Kiutazások!G52*Kiutazások!K52</f>
        <v>#VALUE!</v>
      </c>
      <c r="N48" s="45" t="e">
        <f>Kiutazások!G52*Kiutazások!J52</f>
        <v>#VALUE!</v>
      </c>
      <c r="O48" s="45" t="str">
        <f>IF(Kiutazások!B52=Segédlet!$J$5,IF(Kiutazások!E52&lt;10,Kiutazások!E52*Kiutazások!K52,10*Kiutazások!K52),"")</f>
        <v/>
      </c>
    </row>
    <row r="49" spans="13:15" x14ac:dyDescent="0.25">
      <c r="M49" s="45" t="e">
        <f>Kiutazások!G53*Kiutazások!K53</f>
        <v>#VALUE!</v>
      </c>
      <c r="N49" s="45" t="e">
        <f>Kiutazások!G53*Kiutazások!J53</f>
        <v>#VALUE!</v>
      </c>
      <c r="O49" s="45" t="str">
        <f>IF(Kiutazások!B53=Segédlet!$J$5,IF(Kiutazások!E53&lt;10,Kiutazások!E53*Kiutazások!K53,10*Kiutazások!K53),"")</f>
        <v/>
      </c>
    </row>
    <row r="50" spans="13:15" x14ac:dyDescent="0.25">
      <c r="M50" s="45" t="e">
        <f>Kiutazások!G54*Kiutazások!K54</f>
        <v>#VALUE!</v>
      </c>
      <c r="N50" s="45" t="e">
        <f>Kiutazások!G54*Kiutazások!J54</f>
        <v>#VALUE!</v>
      </c>
      <c r="O50" s="45" t="str">
        <f>IF(Kiutazások!B54=Segédlet!$J$5,IF(Kiutazások!E54&lt;10,Kiutazások!E54*Kiutazások!K54,10*Kiutazások!K54),"")</f>
        <v/>
      </c>
    </row>
    <row r="51" spans="13:15" x14ac:dyDescent="0.25">
      <c r="M51" s="45" t="e">
        <f>Kiutazások!G55*Kiutazások!K55</f>
        <v>#VALUE!</v>
      </c>
      <c r="N51" s="45" t="e">
        <f>Kiutazások!G55*Kiutazások!J55</f>
        <v>#VALUE!</v>
      </c>
      <c r="O51" s="45" t="str">
        <f>IF(Kiutazások!B55=Segédlet!$J$5,IF(Kiutazások!E55&lt;10,Kiutazások!E55*Kiutazások!K55,10*Kiutazások!K55),"")</f>
        <v/>
      </c>
    </row>
    <row r="52" spans="13:15" x14ac:dyDescent="0.25">
      <c r="M52" s="45" t="e">
        <f>Kiutazások!G56*Kiutazások!K56</f>
        <v>#VALUE!</v>
      </c>
      <c r="N52" s="45" t="e">
        <f>Kiutazások!G56*Kiutazások!J56</f>
        <v>#VALUE!</v>
      </c>
      <c r="O52" s="45" t="str">
        <f>IF(Kiutazások!B56=Segédlet!$J$5,IF(Kiutazások!E56&lt;10,Kiutazások!E56*Kiutazások!K56,10*Kiutazások!K56),"")</f>
        <v/>
      </c>
    </row>
    <row r="53" spans="13:15" x14ac:dyDescent="0.25">
      <c r="M53" s="45" t="e">
        <f>Kiutazások!G57*Kiutazások!K57</f>
        <v>#VALUE!</v>
      </c>
      <c r="N53" s="45" t="e">
        <f>Kiutazások!G57*Kiutazások!J57</f>
        <v>#VALUE!</v>
      </c>
      <c r="O53" s="45" t="str">
        <f>IF(Kiutazások!B57=Segédlet!$J$5,IF(Kiutazások!E57&lt;10,Kiutazások!E57*Kiutazások!K57,10*Kiutazások!K57),"")</f>
        <v/>
      </c>
    </row>
    <row r="54" spans="13:15" x14ac:dyDescent="0.25">
      <c r="M54" s="45" t="e">
        <f>Kiutazások!G58*Kiutazások!K58</f>
        <v>#VALUE!</v>
      </c>
      <c r="N54" s="45" t="e">
        <f>Kiutazások!G58*Kiutazások!J58</f>
        <v>#VALUE!</v>
      </c>
      <c r="O54" s="45" t="str">
        <f>IF(Kiutazások!B58=Segédlet!$J$5,IF(Kiutazások!E58&lt;10,Kiutazások!E58*Kiutazások!K58,10*Kiutazások!K58),"")</f>
        <v/>
      </c>
    </row>
    <row r="55" spans="13:15" x14ac:dyDescent="0.25">
      <c r="M55" s="45" t="e">
        <f>Kiutazások!G59*Kiutazások!K59</f>
        <v>#VALUE!</v>
      </c>
      <c r="N55" s="45" t="e">
        <f>Kiutazások!G59*Kiutazások!J59</f>
        <v>#VALUE!</v>
      </c>
      <c r="O55" s="45" t="str">
        <f>IF(Kiutazások!B59=Segédlet!$J$5,IF(Kiutazások!E59&lt;10,Kiutazások!E59*Kiutazások!K59,10*Kiutazások!K59),"")</f>
        <v/>
      </c>
    </row>
    <row r="56" spans="13:15" x14ac:dyDescent="0.25">
      <c r="M56" s="45" t="e">
        <f>Kiutazások!G60*Kiutazások!K60</f>
        <v>#VALUE!</v>
      </c>
      <c r="N56" s="45" t="e">
        <f>Kiutazások!G60*Kiutazások!J60</f>
        <v>#VALUE!</v>
      </c>
      <c r="O56" s="45" t="str">
        <f>IF(Kiutazások!B60=Segédlet!$J$5,IF(Kiutazások!E60&lt;10,Kiutazások!E60*Kiutazások!K60,10*Kiutazások!K60),"")</f>
        <v/>
      </c>
    </row>
    <row r="57" spans="13:15" x14ac:dyDescent="0.25">
      <c r="M57" s="45" t="e">
        <f>Kiutazások!G61*Kiutazások!K61</f>
        <v>#VALUE!</v>
      </c>
      <c r="N57" s="45" t="e">
        <f>Kiutazások!G61*Kiutazások!J61</f>
        <v>#VALUE!</v>
      </c>
      <c r="O57" s="45" t="str">
        <f>IF(Kiutazások!B61=Segédlet!$J$5,IF(Kiutazások!E61&lt;10,Kiutazások!E61*Kiutazások!K61,10*Kiutazások!K61),"")</f>
        <v/>
      </c>
    </row>
    <row r="58" spans="13:15" x14ac:dyDescent="0.25">
      <c r="M58" s="45" t="e">
        <f>Kiutazások!G62*Kiutazások!K62</f>
        <v>#VALUE!</v>
      </c>
      <c r="N58" s="45" t="e">
        <f>Kiutazások!G62*Kiutazások!J62</f>
        <v>#VALUE!</v>
      </c>
      <c r="O58" s="45" t="str">
        <f>IF(Kiutazások!B62=Segédlet!$J$5,IF(Kiutazások!E62&lt;10,Kiutazások!E62*Kiutazások!K62,10*Kiutazások!K62),"")</f>
        <v/>
      </c>
    </row>
    <row r="59" spans="13:15" x14ac:dyDescent="0.25">
      <c r="M59" s="45" t="e">
        <f>Kiutazások!G63*Kiutazások!K63</f>
        <v>#VALUE!</v>
      </c>
      <c r="N59" s="45" t="e">
        <f>Kiutazások!G63*Kiutazások!J63</f>
        <v>#VALUE!</v>
      </c>
      <c r="O59" s="45" t="str">
        <f>IF(Kiutazások!B63=Segédlet!$J$5,IF(Kiutazások!E63&lt;10,Kiutazások!E63*Kiutazások!K63,10*Kiutazások!K63),"")</f>
        <v/>
      </c>
    </row>
    <row r="60" spans="13:15" x14ac:dyDescent="0.25">
      <c r="M60" s="45" t="e">
        <f>Kiutazások!G64*Kiutazások!K64</f>
        <v>#VALUE!</v>
      </c>
      <c r="N60" s="45" t="e">
        <f>Kiutazások!G64*Kiutazások!J64</f>
        <v>#VALUE!</v>
      </c>
      <c r="O60" s="45" t="str">
        <f>IF(Kiutazások!B64=Segédlet!$J$5,IF(Kiutazások!E64&lt;10,Kiutazások!E64*Kiutazások!K64,10*Kiutazások!K64),"")</f>
        <v/>
      </c>
    </row>
    <row r="61" spans="13:15" x14ac:dyDescent="0.25">
      <c r="M61" s="45" t="e">
        <f>Kiutazások!G65*Kiutazások!K65</f>
        <v>#VALUE!</v>
      </c>
      <c r="N61" s="45" t="e">
        <f>Kiutazások!G65*Kiutazások!J65</f>
        <v>#VALUE!</v>
      </c>
      <c r="O61" s="45" t="str">
        <f>IF(Kiutazások!B65=Segédlet!$J$5,IF(Kiutazások!E65&lt;10,Kiutazások!E65*Kiutazások!K65,10*Kiutazások!K65),"")</f>
        <v/>
      </c>
    </row>
    <row r="62" spans="13:15" x14ac:dyDescent="0.25">
      <c r="M62" s="45" t="e">
        <f>Kiutazások!G66*Kiutazások!K66</f>
        <v>#VALUE!</v>
      </c>
      <c r="N62" s="45" t="e">
        <f>Kiutazások!G66*Kiutazások!J66</f>
        <v>#VALUE!</v>
      </c>
      <c r="O62" s="45" t="str">
        <f>IF(Kiutazások!B66=Segédlet!$J$5,IF(Kiutazások!E66&lt;10,Kiutazások!E66*Kiutazások!K66,10*Kiutazások!K66),"")</f>
        <v/>
      </c>
    </row>
    <row r="63" spans="13:15" x14ac:dyDescent="0.25">
      <c r="M63" s="45" t="e">
        <f>Kiutazások!G67*Kiutazások!K67</f>
        <v>#VALUE!</v>
      </c>
      <c r="N63" s="45" t="e">
        <f>Kiutazások!G67*Kiutazások!J67</f>
        <v>#VALUE!</v>
      </c>
      <c r="O63" s="45" t="str">
        <f>IF(Kiutazások!B67=Segédlet!$J$5,IF(Kiutazások!E67&lt;10,Kiutazások!E67*Kiutazások!K67,10*Kiutazások!K67),"")</f>
        <v/>
      </c>
    </row>
    <row r="64" spans="13:15" x14ac:dyDescent="0.25">
      <c r="M64" s="45" t="e">
        <f>Kiutazások!G68*Kiutazások!K68</f>
        <v>#VALUE!</v>
      </c>
      <c r="N64" s="45" t="e">
        <f>Kiutazások!G68*Kiutazások!J68</f>
        <v>#VALUE!</v>
      </c>
      <c r="O64" s="45" t="str">
        <f>IF(Kiutazások!B68=Segédlet!$J$5,IF(Kiutazások!E68&lt;10,Kiutazások!E68*Kiutazások!K68,10*Kiutazások!K68),"")</f>
        <v/>
      </c>
    </row>
    <row r="65" spans="13:15" x14ac:dyDescent="0.25">
      <c r="M65" s="45" t="e">
        <f>Kiutazások!G69*Kiutazások!K69</f>
        <v>#VALUE!</v>
      </c>
      <c r="N65" s="45" t="e">
        <f>Kiutazások!G69*Kiutazások!J69</f>
        <v>#VALUE!</v>
      </c>
      <c r="O65" s="45" t="str">
        <f>IF(Kiutazások!B69=Segédlet!$J$5,IF(Kiutazások!E69&lt;10,Kiutazások!E69*Kiutazások!K69,10*Kiutazások!K69),"")</f>
        <v/>
      </c>
    </row>
    <row r="66" spans="13:15" x14ac:dyDescent="0.25">
      <c r="M66" s="45" t="e">
        <f>Kiutazások!G70*Kiutazások!K70</f>
        <v>#VALUE!</v>
      </c>
      <c r="N66" s="45" t="e">
        <f>Kiutazások!G70*Kiutazások!J70</f>
        <v>#VALUE!</v>
      </c>
      <c r="O66" s="45" t="str">
        <f>IF(Kiutazások!B70=Segédlet!$J$5,IF(Kiutazások!E70&lt;10,Kiutazások!E70*Kiutazások!K70,10*Kiutazások!K70),"")</f>
        <v/>
      </c>
    </row>
    <row r="67" spans="13:15" x14ac:dyDescent="0.25">
      <c r="M67" s="45" t="e">
        <f>Kiutazások!G71*Kiutazások!K71</f>
        <v>#VALUE!</v>
      </c>
      <c r="N67" s="45" t="e">
        <f>Kiutazások!G71*Kiutazások!J71</f>
        <v>#VALUE!</v>
      </c>
      <c r="O67" s="45" t="str">
        <f>IF(Kiutazások!B71=Segédlet!$J$5,IF(Kiutazások!E71&lt;10,Kiutazások!E71*Kiutazások!K71,10*Kiutazások!K71),"")</f>
        <v/>
      </c>
    </row>
    <row r="68" spans="13:15" x14ac:dyDescent="0.25">
      <c r="M68" s="45" t="e">
        <f>Kiutazások!G72*Kiutazások!K72</f>
        <v>#VALUE!</v>
      </c>
      <c r="N68" s="45" t="e">
        <f>Kiutazások!G72*Kiutazások!J72</f>
        <v>#VALUE!</v>
      </c>
      <c r="O68" s="45" t="str">
        <f>IF(Kiutazások!B72=Segédlet!$J$5,IF(Kiutazások!E72&lt;10,Kiutazások!E72*Kiutazások!K72,10*Kiutazások!K72),"")</f>
        <v/>
      </c>
    </row>
    <row r="69" spans="13:15" x14ac:dyDescent="0.25">
      <c r="M69" s="45" t="e">
        <f>Kiutazások!G73*Kiutazások!K73</f>
        <v>#VALUE!</v>
      </c>
      <c r="N69" s="45" t="e">
        <f>Kiutazások!G73*Kiutazások!J73</f>
        <v>#VALUE!</v>
      </c>
      <c r="O69" s="45" t="str">
        <f>IF(Kiutazások!B73=Segédlet!$J$5,IF(Kiutazások!E73&lt;10,Kiutazások!E73*Kiutazások!K73,10*Kiutazások!K73),"")</f>
        <v/>
      </c>
    </row>
    <row r="70" spans="13:15" x14ac:dyDescent="0.25">
      <c r="M70" s="45" t="e">
        <f>Kiutazások!G74*Kiutazások!K74</f>
        <v>#VALUE!</v>
      </c>
      <c r="N70" s="45" t="e">
        <f>Kiutazások!G74*Kiutazások!J74</f>
        <v>#VALUE!</v>
      </c>
      <c r="O70" s="45" t="str">
        <f>IF(Kiutazások!B74=Segédlet!$J$5,IF(Kiutazások!E74&lt;10,Kiutazások!E74*Kiutazások!K74,10*Kiutazások!K74),"")</f>
        <v/>
      </c>
    </row>
    <row r="71" spans="13:15" x14ac:dyDescent="0.25">
      <c r="M71" s="45" t="e">
        <f>Kiutazások!G75*Kiutazások!K75</f>
        <v>#VALUE!</v>
      </c>
      <c r="N71" s="45" t="e">
        <f>Kiutazások!G75*Kiutazások!J75</f>
        <v>#VALUE!</v>
      </c>
      <c r="O71" s="45" t="str">
        <f>IF(Kiutazások!B75=Segédlet!$J$5,IF(Kiutazások!E75&lt;10,Kiutazások!E75*Kiutazások!K75,10*Kiutazások!K75),"")</f>
        <v/>
      </c>
    </row>
    <row r="72" spans="13:15" x14ac:dyDescent="0.25">
      <c r="M72" s="45" t="e">
        <f>Kiutazások!G76*Kiutazások!K76</f>
        <v>#VALUE!</v>
      </c>
      <c r="N72" s="45" t="e">
        <f>Kiutazások!G76*Kiutazások!J76</f>
        <v>#VALUE!</v>
      </c>
      <c r="O72" s="45" t="str">
        <f>IF(Kiutazások!B76=Segédlet!$J$5,IF(Kiutazások!E76&lt;10,Kiutazások!E76*Kiutazások!K76,10*Kiutazások!K76),"")</f>
        <v/>
      </c>
    </row>
    <row r="73" spans="13:15" x14ac:dyDescent="0.25">
      <c r="M73" s="45" t="e">
        <f>Kiutazások!G77*Kiutazások!K77</f>
        <v>#VALUE!</v>
      </c>
      <c r="N73" s="45" t="e">
        <f>Kiutazások!G77*Kiutazások!J77</f>
        <v>#VALUE!</v>
      </c>
      <c r="O73" s="45" t="str">
        <f>IF(Kiutazások!B77=Segédlet!$J$5,IF(Kiutazások!E77&lt;10,Kiutazások!E77*Kiutazások!K77,10*Kiutazások!K77),"")</f>
        <v/>
      </c>
    </row>
    <row r="74" spans="13:15" x14ac:dyDescent="0.25">
      <c r="M74" s="45" t="e">
        <f>Kiutazások!G78*Kiutazások!K78</f>
        <v>#VALUE!</v>
      </c>
      <c r="N74" s="45" t="e">
        <f>Kiutazások!G78*Kiutazások!J78</f>
        <v>#VALUE!</v>
      </c>
      <c r="O74" s="45" t="str">
        <f>IF(Kiutazások!B78=Segédlet!$J$5,IF(Kiutazások!E78&lt;10,Kiutazások!E78*Kiutazások!K78,10*Kiutazások!K78),"")</f>
        <v/>
      </c>
    </row>
    <row r="75" spans="13:15" x14ac:dyDescent="0.25">
      <c r="M75" s="45" t="e">
        <f>Kiutazások!G79*Kiutazások!K79</f>
        <v>#VALUE!</v>
      </c>
      <c r="N75" s="45" t="e">
        <f>Kiutazások!G79*Kiutazások!J79</f>
        <v>#VALUE!</v>
      </c>
      <c r="O75" s="45" t="str">
        <f>IF(Kiutazások!B79=Segédlet!$J$5,IF(Kiutazások!E79&lt;10,Kiutazások!E79*Kiutazások!K79,10*Kiutazások!K79),"")</f>
        <v/>
      </c>
    </row>
    <row r="76" spans="13:15" x14ac:dyDescent="0.25">
      <c r="M76" s="45" t="e">
        <f>Kiutazások!G80*Kiutazások!K80</f>
        <v>#VALUE!</v>
      </c>
      <c r="N76" s="45" t="e">
        <f>Kiutazások!G80*Kiutazások!J80</f>
        <v>#VALUE!</v>
      </c>
      <c r="O76" s="45" t="str">
        <f>IF(Kiutazások!B80=Segédlet!$J$5,IF(Kiutazások!E80&lt;10,Kiutazások!E80*Kiutazások!K80,10*Kiutazások!K80),"")</f>
        <v/>
      </c>
    </row>
    <row r="77" spans="13:15" x14ac:dyDescent="0.25">
      <c r="M77" s="45" t="e">
        <f>Kiutazások!G81*Kiutazások!K81</f>
        <v>#VALUE!</v>
      </c>
      <c r="N77" s="45" t="e">
        <f>Kiutazások!G81*Kiutazások!J81</f>
        <v>#VALUE!</v>
      </c>
      <c r="O77" s="45" t="str">
        <f>IF(Kiutazások!B81=Segédlet!$J$5,IF(Kiutazások!E81&lt;10,Kiutazások!E81*Kiutazások!K81,10*Kiutazások!K81),"")</f>
        <v/>
      </c>
    </row>
    <row r="78" spans="13:15" x14ac:dyDescent="0.25">
      <c r="M78" s="45" t="e">
        <f>Kiutazások!G82*Kiutazások!K82</f>
        <v>#VALUE!</v>
      </c>
      <c r="N78" s="45" t="e">
        <f>Kiutazások!G82*Kiutazások!J82</f>
        <v>#VALUE!</v>
      </c>
      <c r="O78" s="45" t="str">
        <f>IF(Kiutazások!B82=Segédlet!$J$5,IF(Kiutazások!E82&lt;10,Kiutazások!E82*Kiutazások!K82,10*Kiutazások!K82),"")</f>
        <v/>
      </c>
    </row>
    <row r="79" spans="13:15" x14ac:dyDescent="0.25">
      <c r="M79" s="45" t="e">
        <f>Kiutazások!G83*Kiutazások!K83</f>
        <v>#VALUE!</v>
      </c>
      <c r="N79" s="45" t="e">
        <f>Kiutazások!G83*Kiutazások!J83</f>
        <v>#VALUE!</v>
      </c>
      <c r="O79" s="45" t="str">
        <f>IF(Kiutazások!B83=Segédlet!$J$5,IF(Kiutazások!E83&lt;10,Kiutazások!E83*Kiutazások!K83,10*Kiutazások!K83),"")</f>
        <v/>
      </c>
    </row>
    <row r="80" spans="13:15" x14ac:dyDescent="0.25">
      <c r="M80" s="45" t="e">
        <f>Kiutazások!G84*Kiutazások!K84</f>
        <v>#VALUE!</v>
      </c>
      <c r="N80" s="45" t="e">
        <f>Kiutazások!G84*Kiutazások!J84</f>
        <v>#VALUE!</v>
      </c>
      <c r="O80" s="45" t="str">
        <f>IF(Kiutazások!B84=Segédlet!$J$5,IF(Kiutazások!E84&lt;10,Kiutazások!E84*Kiutazások!K84,10*Kiutazások!K84),"")</f>
        <v/>
      </c>
    </row>
    <row r="81" spans="13:15" x14ac:dyDescent="0.25">
      <c r="M81" s="45" t="e">
        <f>Kiutazások!G85*Kiutazások!K85</f>
        <v>#VALUE!</v>
      </c>
      <c r="N81" s="45" t="e">
        <f>Kiutazások!G85*Kiutazások!J85</f>
        <v>#VALUE!</v>
      </c>
      <c r="O81" s="45" t="str">
        <f>IF(Kiutazások!B85=Segédlet!$J$5,IF(Kiutazások!E85&lt;10,Kiutazások!E85*Kiutazások!K85,10*Kiutazások!K85),"")</f>
        <v/>
      </c>
    </row>
    <row r="82" spans="13:15" x14ac:dyDescent="0.25">
      <c r="M82" s="45" t="e">
        <f>Kiutazások!G86*Kiutazások!K86</f>
        <v>#VALUE!</v>
      </c>
      <c r="N82" s="45" t="e">
        <f>Kiutazások!G86*Kiutazások!J86</f>
        <v>#VALUE!</v>
      </c>
      <c r="O82" s="45" t="str">
        <f>IF(Kiutazások!B86=Segédlet!$J$5,IF(Kiutazások!E86&lt;10,Kiutazások!E86*Kiutazások!K86,10*Kiutazások!K86),"")</f>
        <v/>
      </c>
    </row>
    <row r="83" spans="13:15" x14ac:dyDescent="0.25">
      <c r="M83" s="45" t="e">
        <f>Kiutazások!G87*Kiutazások!K87</f>
        <v>#VALUE!</v>
      </c>
      <c r="N83" s="45" t="e">
        <f>Kiutazások!G87*Kiutazások!J87</f>
        <v>#VALUE!</v>
      </c>
      <c r="O83" s="45" t="str">
        <f>IF(Kiutazások!B87=Segédlet!$J$5,IF(Kiutazások!E87&lt;10,Kiutazások!E87*Kiutazások!K87,10*Kiutazások!K87),"")</f>
        <v/>
      </c>
    </row>
    <row r="84" spans="13:15" x14ac:dyDescent="0.25">
      <c r="M84" s="45" t="e">
        <f>Kiutazások!G88*Kiutazások!K88</f>
        <v>#VALUE!</v>
      </c>
      <c r="N84" s="45" t="e">
        <f>Kiutazások!G88*Kiutazások!J88</f>
        <v>#VALUE!</v>
      </c>
      <c r="O84" s="45" t="str">
        <f>IF(Kiutazások!B88=Segédlet!$J$5,IF(Kiutazások!E88&lt;10,Kiutazások!E88*Kiutazások!K88,10*Kiutazások!K88),"")</f>
        <v/>
      </c>
    </row>
    <row r="85" spans="13:15" x14ac:dyDescent="0.25">
      <c r="M85" s="45" t="e">
        <f>Kiutazások!G89*Kiutazások!K89</f>
        <v>#VALUE!</v>
      </c>
      <c r="N85" s="45" t="e">
        <f>Kiutazások!G89*Kiutazások!J89</f>
        <v>#VALUE!</v>
      </c>
      <c r="O85" s="45" t="str">
        <f>IF(Kiutazások!B89=Segédlet!$J$5,IF(Kiutazások!E89&lt;10,Kiutazások!E89*Kiutazások!K89,10*Kiutazások!K89),"")</f>
        <v/>
      </c>
    </row>
    <row r="86" spans="13:15" x14ac:dyDescent="0.25">
      <c r="M86" s="45" t="e">
        <f>Kiutazások!G90*Kiutazások!K90</f>
        <v>#VALUE!</v>
      </c>
      <c r="N86" s="45" t="e">
        <f>Kiutazások!G90*Kiutazások!J90</f>
        <v>#VALUE!</v>
      </c>
      <c r="O86" s="45" t="str">
        <f>IF(Kiutazások!B90=Segédlet!$J$5,IF(Kiutazások!E90&lt;10,Kiutazások!E90*Kiutazások!K90,10*Kiutazások!K90),"")</f>
        <v/>
      </c>
    </row>
    <row r="87" spans="13:15" x14ac:dyDescent="0.25">
      <c r="M87" s="45" t="e">
        <f>Kiutazások!G91*Kiutazások!K91</f>
        <v>#VALUE!</v>
      </c>
      <c r="N87" s="45" t="e">
        <f>Kiutazások!G91*Kiutazások!J91</f>
        <v>#VALUE!</v>
      </c>
      <c r="O87" s="45" t="str">
        <f>IF(Kiutazások!B91=Segédlet!$J$5,IF(Kiutazások!E91&lt;10,Kiutazások!E91*Kiutazások!K91,10*Kiutazások!K91),"")</f>
        <v/>
      </c>
    </row>
    <row r="88" spans="13:15" x14ac:dyDescent="0.25">
      <c r="M88" s="45" t="e">
        <f>Kiutazások!G92*Kiutazások!K92</f>
        <v>#VALUE!</v>
      </c>
      <c r="N88" s="45" t="e">
        <f>Kiutazások!G92*Kiutazások!J92</f>
        <v>#VALUE!</v>
      </c>
      <c r="O88" s="45" t="str">
        <f>IF(Kiutazások!B92=Segédlet!$J$5,IF(Kiutazások!E92&lt;10,Kiutazások!E92*Kiutazások!K92,10*Kiutazások!K92),"")</f>
        <v/>
      </c>
    </row>
    <row r="89" spans="13:15" x14ac:dyDescent="0.25">
      <c r="M89" s="45" t="e">
        <f>Kiutazások!G93*Kiutazások!K93</f>
        <v>#VALUE!</v>
      </c>
      <c r="N89" s="45" t="e">
        <f>Kiutazások!G93*Kiutazások!J93</f>
        <v>#VALUE!</v>
      </c>
      <c r="O89" s="45" t="str">
        <f>IF(Kiutazások!B93=Segédlet!$J$5,IF(Kiutazások!E93&lt;10,Kiutazások!E93*Kiutazások!K93,10*Kiutazások!K93),"")</f>
        <v/>
      </c>
    </row>
    <row r="90" spans="13:15" x14ac:dyDescent="0.25">
      <c r="M90" s="45" t="e">
        <f>Kiutazások!G94*Kiutazások!K94</f>
        <v>#VALUE!</v>
      </c>
      <c r="N90" s="45" t="e">
        <f>Kiutazások!G94*Kiutazások!J94</f>
        <v>#VALUE!</v>
      </c>
      <c r="O90" s="45" t="str">
        <f>IF(Kiutazások!B94=Segédlet!$J$5,IF(Kiutazások!E94&lt;10,Kiutazások!E94*Kiutazások!K94,10*Kiutazások!K94),"")</f>
        <v/>
      </c>
    </row>
    <row r="91" spans="13:15" x14ac:dyDescent="0.25">
      <c r="M91" s="45" t="e">
        <f>Kiutazások!G95*Kiutazások!K95</f>
        <v>#VALUE!</v>
      </c>
      <c r="N91" s="45" t="e">
        <f>Kiutazások!G95*Kiutazások!J95</f>
        <v>#VALUE!</v>
      </c>
      <c r="O91" s="45" t="str">
        <f>IF(Kiutazások!B95=Segédlet!$J$5,IF(Kiutazások!E95&lt;10,Kiutazások!E95*Kiutazások!K95,10*Kiutazások!K95),"")</f>
        <v/>
      </c>
    </row>
    <row r="92" spans="13:15" x14ac:dyDescent="0.25">
      <c r="M92" s="45" t="e">
        <f>Kiutazások!G96*Kiutazások!K96</f>
        <v>#VALUE!</v>
      </c>
      <c r="N92" s="45" t="e">
        <f>Kiutazások!G96*Kiutazások!J96</f>
        <v>#VALUE!</v>
      </c>
      <c r="O92" s="45" t="str">
        <f>IF(Kiutazások!B96=Segédlet!$J$5,IF(Kiutazások!E96&lt;10,Kiutazások!E96*Kiutazások!K96,10*Kiutazások!K96),"")</f>
        <v/>
      </c>
    </row>
    <row r="93" spans="13:15" x14ac:dyDescent="0.25">
      <c r="M93" s="45" t="e">
        <f>Kiutazások!G97*Kiutazások!K97</f>
        <v>#VALUE!</v>
      </c>
      <c r="N93" s="45" t="e">
        <f>Kiutazások!G97*Kiutazások!J97</f>
        <v>#VALUE!</v>
      </c>
      <c r="O93" s="45" t="str">
        <f>IF(Kiutazások!B97=Segédlet!$J$5,IF(Kiutazások!E97&lt;10,Kiutazások!E97*Kiutazások!K97,10*Kiutazások!K97),"")</f>
        <v/>
      </c>
    </row>
    <row r="94" spans="13:15" x14ac:dyDescent="0.25">
      <c r="M94" s="45" t="e">
        <f>Kiutazások!G98*Kiutazások!K98</f>
        <v>#VALUE!</v>
      </c>
      <c r="N94" s="45" t="e">
        <f>Kiutazások!G98*Kiutazások!J98</f>
        <v>#VALUE!</v>
      </c>
      <c r="O94" s="45" t="str">
        <f>IF(Kiutazások!B98=Segédlet!$J$5,IF(Kiutazások!E98&lt;10,Kiutazások!E98*Kiutazások!K98,10*Kiutazások!K98),"")</f>
        <v/>
      </c>
    </row>
    <row r="95" spans="13:15" x14ac:dyDescent="0.25">
      <c r="M95" s="45" t="e">
        <f>Kiutazások!G99*Kiutazások!K99</f>
        <v>#VALUE!</v>
      </c>
      <c r="N95" s="45" t="e">
        <f>Kiutazások!G99*Kiutazások!J99</f>
        <v>#VALUE!</v>
      </c>
      <c r="O95" s="45" t="str">
        <f>IF(Kiutazások!B99=Segédlet!$J$5,IF(Kiutazások!E99&lt;10,Kiutazások!E99*Kiutazások!K99,10*Kiutazások!K99),"")</f>
        <v/>
      </c>
    </row>
    <row r="96" spans="13:15" x14ac:dyDescent="0.25">
      <c r="M96" s="45" t="e">
        <f>Kiutazások!G100*Kiutazások!K100</f>
        <v>#VALUE!</v>
      </c>
      <c r="N96" s="45" t="e">
        <f>Kiutazások!G100*Kiutazások!J100</f>
        <v>#VALUE!</v>
      </c>
      <c r="O96" s="45" t="str">
        <f>IF(Kiutazások!B100=Segédlet!$J$5,IF(Kiutazások!E100&lt;10,Kiutazások!E100*Kiutazások!K100,10*Kiutazások!K100),"")</f>
        <v/>
      </c>
    </row>
    <row r="97" spans="13:15" x14ac:dyDescent="0.25">
      <c r="M97" s="45" t="e">
        <f>Kiutazások!G101*Kiutazások!K101</f>
        <v>#VALUE!</v>
      </c>
      <c r="N97" s="45" t="e">
        <f>Kiutazások!G101*Kiutazások!J101</f>
        <v>#VALUE!</v>
      </c>
      <c r="O97" s="45" t="str">
        <f>IF(Kiutazások!B101=Segédlet!$J$5,IF(Kiutazások!E101&lt;10,Kiutazások!E101*Kiutazások!K101,10*Kiutazások!K101),"")</f>
        <v/>
      </c>
    </row>
    <row r="98" spans="13:15" x14ac:dyDescent="0.25">
      <c r="M98" s="45" t="e">
        <f>Kiutazások!G102*Kiutazások!K102</f>
        <v>#VALUE!</v>
      </c>
      <c r="N98" s="45" t="e">
        <f>Kiutazások!G102*Kiutazások!J102</f>
        <v>#VALUE!</v>
      </c>
      <c r="O98" s="45" t="str">
        <f>IF(Kiutazások!B102=Segédlet!$J$5,IF(Kiutazások!E102&lt;10,Kiutazások!E102*Kiutazások!K102,10*Kiutazások!K102),"")</f>
        <v/>
      </c>
    </row>
    <row r="99" spans="13:15" x14ac:dyDescent="0.25">
      <c r="M99" s="45" t="e">
        <f>Kiutazások!G103*Kiutazások!K103</f>
        <v>#VALUE!</v>
      </c>
      <c r="N99" s="45" t="e">
        <f>Kiutazások!G103*Kiutazások!J103</f>
        <v>#VALUE!</v>
      </c>
      <c r="O99" s="45" t="str">
        <f>IF(Kiutazások!B103=Segédlet!$J$5,IF(Kiutazások!E103&lt;10,Kiutazások!E103*Kiutazások!K103,10*Kiutazások!K103),"")</f>
        <v/>
      </c>
    </row>
    <row r="100" spans="13:15" x14ac:dyDescent="0.25">
      <c r="M100" s="45" t="e">
        <f>Kiutazások!G104*Kiutazások!K104</f>
        <v>#VALUE!</v>
      </c>
      <c r="N100" s="45" t="e">
        <f>Kiutazások!G104*Kiutazások!J104</f>
        <v>#VALUE!</v>
      </c>
      <c r="O100" s="45" t="str">
        <f>IF(Kiutazások!B104=Segédlet!$J$5,IF(Kiutazások!E104&lt;10,Kiutazások!E104*Kiutazások!K104,10*Kiutazások!K104),"")</f>
        <v/>
      </c>
    </row>
    <row r="101" spans="13:15" x14ac:dyDescent="0.25">
      <c r="M101" s="45" t="e">
        <f>Kiutazások!G105*Kiutazások!K105</f>
        <v>#VALUE!</v>
      </c>
      <c r="N101" s="45" t="e">
        <f>Kiutazások!G105*Kiutazások!J105</f>
        <v>#VALUE!</v>
      </c>
      <c r="O101" s="45" t="str">
        <f>IF(Kiutazások!B105=Segédlet!$J$5,IF(Kiutazások!E105&lt;10,Kiutazások!E105*Kiutazások!K105,10*Kiutazások!K105),"")</f>
        <v/>
      </c>
    </row>
    <row r="102" spans="13:15" x14ac:dyDescent="0.25">
      <c r="M102" s="45" t="e">
        <f>Kiutazások!G106*Kiutazások!K106</f>
        <v>#VALUE!</v>
      </c>
      <c r="N102" s="45" t="e">
        <f>Kiutazások!G106*Kiutazások!J106</f>
        <v>#VALUE!</v>
      </c>
      <c r="O102" s="45" t="str">
        <f>IF(Kiutazások!B106=Segédlet!$J$5,IF(Kiutazások!E106&lt;10,Kiutazások!E106*Kiutazások!K106,10*Kiutazások!K106),"")</f>
        <v/>
      </c>
    </row>
  </sheetData>
  <sheetProtection algorithmName="SHA-512" hashValue="7kbfFZeOTGVGGDOL/Xn6sV49r4n+DMBLg37jxd8+ZDdRGxPayhPY5y5XBywLh+b8YSot7ybEviz0nLKl9uJC+g==" saltValue="ZdoD0WJ0u4ZNPccY7jLZkA==" spinCount="100000" sheet="1" objects="1" scenarios="1"/>
  <mergeCells count="4">
    <mergeCell ref="C3:C4"/>
    <mergeCell ref="D3:E3"/>
    <mergeCell ref="B2:E2"/>
    <mergeCell ref="B3:B4"/>
  </mergeCells>
  <conditionalFormatting sqref="M3:O102">
    <cfRule type="notContainsBlanks" dxfId="0" priority="1">
      <formula>LEN(TRIM(M3))&gt;0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Kiutazások</vt:lpstr>
      <vt:lpstr>Projekt költségvetése</vt:lpstr>
      <vt:lpstr>Segédlet</vt:lpstr>
      <vt:lpstr>Kiutazások!Nyomtatási_terület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Pribil-Kövesdy Döníz</dc:creator>
  <cp:lastModifiedBy>Pribil-Kövesdy Döníz</cp:lastModifiedBy>
  <cp:lastPrinted>2018-12-12T10:29:42Z</cp:lastPrinted>
  <dcterms:created xsi:type="dcterms:W3CDTF">2015-04-08T10:10:14Z</dcterms:created>
  <dcterms:modified xsi:type="dcterms:W3CDTF">2019-01-17T07:56:09Z</dcterms:modified>
</cp:coreProperties>
</file>