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kovesdy\Downloads\"/>
    </mc:Choice>
  </mc:AlternateContent>
  <bookViews>
    <workbookView xWindow="0" yWindow="0" windowWidth="25200" windowHeight="11850"/>
  </bookViews>
  <sheets>
    <sheet name="Tanuló kiutazások" sheetId="1" r:id="rId1"/>
    <sheet name="Munkatárs kiutazások" sheetId="5" r:id="rId2"/>
    <sheet name="Projekt költségvetése" sheetId="2" r:id="rId3"/>
    <sheet name="Segédlet" sheetId="4" state="hidden" r:id="rId4"/>
  </sheets>
  <definedNames>
    <definedName name="_xlnm._FilterDatabase" localSheetId="3" hidden="1">Segédlet!$C$2:$E$37</definedName>
    <definedName name="Előkészítő_látogatás___Erasmus_Pro">Segédlet!#REF!</definedName>
    <definedName name="Erasmus_Pro___szakképzési_tanulók_hosszú_távú_mobilitása">Segédlet!#REF!</definedName>
    <definedName name="Kategória">Segédlet!#REF!</definedName>
    <definedName name="_xlnm.Print_Area" localSheetId="0">'Tanuló kiutazások'!$A$1:$AG$106</definedName>
    <definedName name="Szakképzési_tanulók_rövid_távú_mobilitása">Segédlet!#REF!</definedName>
  </definedNames>
  <calcPr calcId="162913"/>
</workbook>
</file>

<file path=xl/calcChain.xml><?xml version="1.0" encoding="utf-8"?>
<calcChain xmlns="http://schemas.openxmlformats.org/spreadsheetml/2006/main">
  <c r="Z26" i="2" l="1"/>
  <c r="Z25" i="2"/>
  <c r="Z24" i="2"/>
  <c r="X26" i="2"/>
  <c r="X25" i="2"/>
  <c r="X24" i="2"/>
  <c r="W26" i="2"/>
  <c r="W25" i="2"/>
  <c r="W24" i="2"/>
  <c r="V26" i="2"/>
  <c r="V25" i="2"/>
  <c r="V24" i="2"/>
  <c r="T26" i="2"/>
  <c r="T25" i="2"/>
  <c r="T24" i="2"/>
  <c r="S26" i="2"/>
  <c r="S25" i="2"/>
  <c r="S24" i="2"/>
  <c r="M35" i="2"/>
  <c r="N4" i="4"/>
  <c r="T4" i="4" s="1"/>
  <c r="O4" i="4"/>
  <c r="P4" i="4"/>
  <c r="Q4" i="4"/>
  <c r="W4" i="4" s="1"/>
  <c r="R4" i="4"/>
  <c r="S4" i="4"/>
  <c r="U4" i="4"/>
  <c r="V4" i="4"/>
  <c r="X4" i="4"/>
  <c r="Y4" i="4"/>
  <c r="Z4" i="4"/>
  <c r="AA4" i="4"/>
  <c r="N5" i="4"/>
  <c r="U5" i="4" s="1"/>
  <c r="O5" i="4"/>
  <c r="P5" i="4"/>
  <c r="Q5" i="4"/>
  <c r="R5" i="4"/>
  <c r="S5" i="4"/>
  <c r="T5" i="4"/>
  <c r="V5" i="4"/>
  <c r="W5" i="4"/>
  <c r="X5" i="4"/>
  <c r="Y5" i="4"/>
  <c r="Z5" i="4"/>
  <c r="AA5" i="4"/>
  <c r="N6" i="4"/>
  <c r="T6" i="4" s="1"/>
  <c r="O6" i="4"/>
  <c r="P6" i="4"/>
  <c r="Q6" i="4"/>
  <c r="W6" i="4" s="1"/>
  <c r="R6" i="4"/>
  <c r="S6" i="4"/>
  <c r="U6" i="4"/>
  <c r="V6" i="4"/>
  <c r="X6" i="4"/>
  <c r="Y6" i="4"/>
  <c r="Z6" i="4"/>
  <c r="AA6" i="4"/>
  <c r="N7" i="4"/>
  <c r="U7" i="4" s="1"/>
  <c r="O7" i="4"/>
  <c r="P7" i="4"/>
  <c r="Q7" i="4"/>
  <c r="R7" i="4"/>
  <c r="S7" i="4"/>
  <c r="T7" i="4"/>
  <c r="V7" i="4"/>
  <c r="W7" i="4"/>
  <c r="X7" i="4"/>
  <c r="Y7" i="4"/>
  <c r="Z7" i="4"/>
  <c r="AA7" i="4"/>
  <c r="N8" i="4"/>
  <c r="T8" i="4" s="1"/>
  <c r="O8" i="4"/>
  <c r="P8" i="4"/>
  <c r="Q8" i="4"/>
  <c r="W8" i="4" s="1"/>
  <c r="R8" i="4"/>
  <c r="S8" i="4"/>
  <c r="U8" i="4"/>
  <c r="V8" i="4"/>
  <c r="X8" i="4"/>
  <c r="Y8" i="4"/>
  <c r="Z8" i="4"/>
  <c r="AA8" i="4"/>
  <c r="N9" i="4"/>
  <c r="U9" i="4" s="1"/>
  <c r="O9" i="4"/>
  <c r="P9" i="4"/>
  <c r="Q9" i="4"/>
  <c r="R9" i="4"/>
  <c r="S9" i="4"/>
  <c r="T9" i="4"/>
  <c r="V9" i="4"/>
  <c r="W9" i="4"/>
  <c r="X9" i="4"/>
  <c r="Y9" i="4"/>
  <c r="Z9" i="4"/>
  <c r="AA9" i="4"/>
  <c r="N10" i="4"/>
  <c r="T10" i="4" s="1"/>
  <c r="O10" i="4"/>
  <c r="P10" i="4"/>
  <c r="Q10" i="4"/>
  <c r="W10" i="4" s="1"/>
  <c r="R10" i="4"/>
  <c r="S10" i="4"/>
  <c r="U10" i="4"/>
  <c r="V10" i="4"/>
  <c r="X10" i="4"/>
  <c r="Y10" i="4"/>
  <c r="Z10" i="4"/>
  <c r="AA10" i="4"/>
  <c r="N11" i="4"/>
  <c r="U11" i="4" s="1"/>
  <c r="O11" i="4"/>
  <c r="P11" i="4"/>
  <c r="Q11" i="4"/>
  <c r="R11" i="4"/>
  <c r="S11" i="4"/>
  <c r="T11" i="4"/>
  <c r="V11" i="4"/>
  <c r="W11" i="4"/>
  <c r="X11" i="4"/>
  <c r="Y11" i="4"/>
  <c r="Z11" i="4"/>
  <c r="AA11" i="4"/>
  <c r="N12" i="4"/>
  <c r="T12" i="4" s="1"/>
  <c r="O12" i="4"/>
  <c r="P12" i="4"/>
  <c r="Q12" i="4"/>
  <c r="W12" i="4" s="1"/>
  <c r="R12" i="4"/>
  <c r="S12" i="4"/>
  <c r="U12" i="4"/>
  <c r="V12" i="4"/>
  <c r="X12" i="4"/>
  <c r="Y12" i="4"/>
  <c r="Z12" i="4"/>
  <c r="AA12" i="4"/>
  <c r="N13" i="4"/>
  <c r="U13" i="4" s="1"/>
  <c r="O13" i="4"/>
  <c r="P13" i="4"/>
  <c r="Q13" i="4"/>
  <c r="R13" i="4"/>
  <c r="S13" i="4"/>
  <c r="T13" i="4"/>
  <c r="V13" i="4"/>
  <c r="W13" i="4"/>
  <c r="X13" i="4"/>
  <c r="Y13" i="4"/>
  <c r="Z13" i="4"/>
  <c r="AA13" i="4"/>
  <c r="N14" i="4"/>
  <c r="T14" i="4" s="1"/>
  <c r="O14" i="4"/>
  <c r="P14" i="4"/>
  <c r="Q14" i="4"/>
  <c r="W14" i="4" s="1"/>
  <c r="R14" i="4"/>
  <c r="S14" i="4"/>
  <c r="U14" i="4"/>
  <c r="V14" i="4"/>
  <c r="X14" i="4"/>
  <c r="Y14" i="4"/>
  <c r="Z14" i="4"/>
  <c r="AA14" i="4"/>
  <c r="N15" i="4"/>
  <c r="U15" i="4" s="1"/>
  <c r="O15" i="4"/>
  <c r="P15" i="4"/>
  <c r="Q15" i="4"/>
  <c r="R15" i="4"/>
  <c r="S15" i="4"/>
  <c r="T15" i="4"/>
  <c r="V15" i="4"/>
  <c r="W15" i="4"/>
  <c r="X15" i="4"/>
  <c r="Y15" i="4"/>
  <c r="Z15" i="4"/>
  <c r="AA15" i="4"/>
  <c r="N16" i="4"/>
  <c r="T16" i="4" s="1"/>
  <c r="O16" i="4"/>
  <c r="P16" i="4"/>
  <c r="Q16" i="4"/>
  <c r="W16" i="4" s="1"/>
  <c r="R16" i="4"/>
  <c r="S16" i="4"/>
  <c r="U16" i="4"/>
  <c r="V16" i="4"/>
  <c r="X16" i="4"/>
  <c r="Y16" i="4"/>
  <c r="Z16" i="4"/>
  <c r="AA16" i="4"/>
  <c r="N17" i="4"/>
  <c r="U17" i="4" s="1"/>
  <c r="O17" i="4"/>
  <c r="P17" i="4"/>
  <c r="Q17" i="4"/>
  <c r="R17" i="4"/>
  <c r="S17" i="4"/>
  <c r="T17" i="4"/>
  <c r="V17" i="4"/>
  <c r="W17" i="4"/>
  <c r="X17" i="4"/>
  <c r="Y17" i="4"/>
  <c r="Z17" i="4"/>
  <c r="AA17" i="4"/>
  <c r="N18" i="4"/>
  <c r="T18" i="4" s="1"/>
  <c r="O18" i="4"/>
  <c r="P18" i="4"/>
  <c r="Q18" i="4"/>
  <c r="W18" i="4" s="1"/>
  <c r="R18" i="4"/>
  <c r="S18" i="4"/>
  <c r="U18" i="4"/>
  <c r="V18" i="4"/>
  <c r="X18" i="4"/>
  <c r="Y18" i="4"/>
  <c r="Z18" i="4"/>
  <c r="AA18" i="4"/>
  <c r="N19" i="4"/>
  <c r="U19" i="4" s="1"/>
  <c r="O19" i="4"/>
  <c r="P19" i="4"/>
  <c r="Q19" i="4"/>
  <c r="R19" i="4"/>
  <c r="S19" i="4"/>
  <c r="T19" i="4"/>
  <c r="V19" i="4"/>
  <c r="W19" i="4"/>
  <c r="X19" i="4"/>
  <c r="Y19" i="4"/>
  <c r="Z19" i="4"/>
  <c r="AA19" i="4"/>
  <c r="N20" i="4"/>
  <c r="T20" i="4" s="1"/>
  <c r="O20" i="4"/>
  <c r="P20" i="4"/>
  <c r="Q20" i="4"/>
  <c r="W20" i="4" s="1"/>
  <c r="R20" i="4"/>
  <c r="S20" i="4"/>
  <c r="U20" i="4"/>
  <c r="V20" i="4"/>
  <c r="X20" i="4"/>
  <c r="Y20" i="4"/>
  <c r="Z20" i="4"/>
  <c r="AA20" i="4"/>
  <c r="N21" i="4"/>
  <c r="U21" i="4" s="1"/>
  <c r="O21" i="4"/>
  <c r="P21" i="4"/>
  <c r="Q21" i="4"/>
  <c r="R21" i="4"/>
  <c r="S21" i="4"/>
  <c r="T21" i="4"/>
  <c r="V21" i="4"/>
  <c r="W21" i="4"/>
  <c r="X21" i="4"/>
  <c r="Y21" i="4"/>
  <c r="Z21" i="4"/>
  <c r="AA21" i="4"/>
  <c r="N22" i="4"/>
  <c r="T22" i="4" s="1"/>
  <c r="O22" i="4"/>
  <c r="P22" i="4"/>
  <c r="Q22" i="4"/>
  <c r="W22" i="4" s="1"/>
  <c r="R22" i="4"/>
  <c r="S22" i="4"/>
  <c r="U22" i="4"/>
  <c r="V22" i="4"/>
  <c r="X22" i="4"/>
  <c r="Y22" i="4"/>
  <c r="Z22" i="4"/>
  <c r="AA22" i="4"/>
  <c r="N23" i="4"/>
  <c r="U23" i="4" s="1"/>
  <c r="O23" i="4"/>
  <c r="P23" i="4"/>
  <c r="Q23" i="4"/>
  <c r="R23" i="4"/>
  <c r="S23" i="4"/>
  <c r="T23" i="4"/>
  <c r="V23" i="4"/>
  <c r="W23" i="4"/>
  <c r="X23" i="4"/>
  <c r="Y23" i="4"/>
  <c r="Z23" i="4"/>
  <c r="AA23" i="4"/>
  <c r="N24" i="4"/>
  <c r="T24" i="4" s="1"/>
  <c r="O24" i="4"/>
  <c r="P24" i="4"/>
  <c r="Q24" i="4"/>
  <c r="W24" i="4" s="1"/>
  <c r="R24" i="4"/>
  <c r="S24" i="4"/>
  <c r="U24" i="4"/>
  <c r="V24" i="4"/>
  <c r="X24" i="4"/>
  <c r="Y24" i="4"/>
  <c r="Z24" i="4"/>
  <c r="AA24" i="4"/>
  <c r="N25" i="4"/>
  <c r="U25" i="4" s="1"/>
  <c r="O25" i="4"/>
  <c r="P25" i="4"/>
  <c r="Q25" i="4"/>
  <c r="R25" i="4"/>
  <c r="S25" i="4"/>
  <c r="T25" i="4"/>
  <c r="V25" i="4"/>
  <c r="W25" i="4"/>
  <c r="X25" i="4"/>
  <c r="Y25" i="4"/>
  <c r="Z25" i="4"/>
  <c r="AA25" i="4"/>
  <c r="N26" i="4"/>
  <c r="T26" i="4" s="1"/>
  <c r="O26" i="4"/>
  <c r="P26" i="4"/>
  <c r="Q26" i="4"/>
  <c r="W26" i="4" s="1"/>
  <c r="R26" i="4"/>
  <c r="S26" i="4"/>
  <c r="U26" i="4"/>
  <c r="V26" i="4"/>
  <c r="X26" i="4"/>
  <c r="Y26" i="4"/>
  <c r="Z26" i="4"/>
  <c r="AA26" i="4"/>
  <c r="N27" i="4"/>
  <c r="U27" i="4" s="1"/>
  <c r="O27" i="4"/>
  <c r="P27" i="4"/>
  <c r="Q27" i="4"/>
  <c r="R27" i="4"/>
  <c r="S27" i="4"/>
  <c r="T27" i="4"/>
  <c r="V27" i="4"/>
  <c r="W27" i="4"/>
  <c r="X27" i="4"/>
  <c r="Y27" i="4"/>
  <c r="Z27" i="4"/>
  <c r="AA27" i="4"/>
  <c r="N28" i="4"/>
  <c r="T28" i="4" s="1"/>
  <c r="O28" i="4"/>
  <c r="P28" i="4"/>
  <c r="Q28" i="4"/>
  <c r="W28" i="4" s="1"/>
  <c r="R28" i="4"/>
  <c r="S28" i="4"/>
  <c r="U28" i="4"/>
  <c r="V28" i="4"/>
  <c r="X28" i="4"/>
  <c r="Y28" i="4"/>
  <c r="Z28" i="4"/>
  <c r="AA28" i="4"/>
  <c r="N29" i="4"/>
  <c r="U29" i="4" s="1"/>
  <c r="O29" i="4"/>
  <c r="P29" i="4"/>
  <c r="Q29" i="4"/>
  <c r="R29" i="4"/>
  <c r="S29" i="4"/>
  <c r="T29" i="4"/>
  <c r="V29" i="4"/>
  <c r="W29" i="4"/>
  <c r="X29" i="4"/>
  <c r="Y29" i="4"/>
  <c r="Z29" i="4"/>
  <c r="AA29" i="4"/>
  <c r="N30" i="4"/>
  <c r="T30" i="4" s="1"/>
  <c r="O30" i="4"/>
  <c r="P30" i="4"/>
  <c r="Q30" i="4"/>
  <c r="W30" i="4" s="1"/>
  <c r="R30" i="4"/>
  <c r="S30" i="4"/>
  <c r="U30" i="4"/>
  <c r="V30" i="4"/>
  <c r="X30" i="4"/>
  <c r="Y30" i="4"/>
  <c r="Z30" i="4"/>
  <c r="AA30" i="4"/>
  <c r="N31" i="4"/>
  <c r="U31" i="4" s="1"/>
  <c r="O31" i="4"/>
  <c r="P31" i="4"/>
  <c r="Q31" i="4"/>
  <c r="R31" i="4"/>
  <c r="S31" i="4"/>
  <c r="T31" i="4"/>
  <c r="V31" i="4"/>
  <c r="W31" i="4"/>
  <c r="X31" i="4"/>
  <c r="Y31" i="4"/>
  <c r="Z31" i="4"/>
  <c r="AA31" i="4"/>
  <c r="N32" i="4"/>
  <c r="T32" i="4" s="1"/>
  <c r="O32" i="4"/>
  <c r="P32" i="4"/>
  <c r="Q32" i="4"/>
  <c r="W32" i="4" s="1"/>
  <c r="R32" i="4"/>
  <c r="S32" i="4"/>
  <c r="U32" i="4"/>
  <c r="V32" i="4"/>
  <c r="X32" i="4"/>
  <c r="Y32" i="4"/>
  <c r="Z32" i="4"/>
  <c r="AA32" i="4"/>
  <c r="N33" i="4"/>
  <c r="U33" i="4" s="1"/>
  <c r="O33" i="4"/>
  <c r="P33" i="4"/>
  <c r="Q33" i="4"/>
  <c r="R33" i="4"/>
  <c r="S33" i="4"/>
  <c r="T33" i="4"/>
  <c r="V33" i="4"/>
  <c r="W33" i="4"/>
  <c r="X33" i="4"/>
  <c r="Y33" i="4"/>
  <c r="Z33" i="4"/>
  <c r="AA33" i="4"/>
  <c r="N34" i="4"/>
  <c r="T34" i="4" s="1"/>
  <c r="O34" i="4"/>
  <c r="P34" i="4"/>
  <c r="Q34" i="4"/>
  <c r="W34" i="4" s="1"/>
  <c r="R34" i="4"/>
  <c r="S34" i="4"/>
  <c r="U34" i="4"/>
  <c r="V34" i="4"/>
  <c r="X34" i="4"/>
  <c r="Y34" i="4"/>
  <c r="Z34" i="4"/>
  <c r="AA34" i="4"/>
  <c r="N35" i="4"/>
  <c r="U35" i="4" s="1"/>
  <c r="O35" i="4"/>
  <c r="P35" i="4"/>
  <c r="Q35" i="4"/>
  <c r="R35" i="4"/>
  <c r="S35" i="4"/>
  <c r="T35" i="4"/>
  <c r="V35" i="4"/>
  <c r="W35" i="4"/>
  <c r="X35" i="4"/>
  <c r="Y35" i="4"/>
  <c r="Z35" i="4"/>
  <c r="AA35" i="4"/>
  <c r="N36" i="4"/>
  <c r="T36" i="4" s="1"/>
  <c r="O36" i="4"/>
  <c r="P36" i="4"/>
  <c r="Q36" i="4"/>
  <c r="W36" i="4" s="1"/>
  <c r="R36" i="4"/>
  <c r="S36" i="4"/>
  <c r="U36" i="4"/>
  <c r="V36" i="4"/>
  <c r="X36" i="4"/>
  <c r="Y36" i="4"/>
  <c r="Z36" i="4"/>
  <c r="AA36" i="4"/>
  <c r="N37" i="4"/>
  <c r="U37" i="4" s="1"/>
  <c r="O37" i="4"/>
  <c r="P37" i="4"/>
  <c r="Q37" i="4"/>
  <c r="R37" i="4"/>
  <c r="S37" i="4"/>
  <c r="T37" i="4"/>
  <c r="V37" i="4"/>
  <c r="W37" i="4"/>
  <c r="X37" i="4"/>
  <c r="Y37" i="4"/>
  <c r="Z37" i="4"/>
  <c r="AA37" i="4"/>
  <c r="N38" i="4"/>
  <c r="T38" i="4" s="1"/>
  <c r="O38" i="4"/>
  <c r="P38" i="4"/>
  <c r="Q38" i="4"/>
  <c r="W38" i="4" s="1"/>
  <c r="R38" i="4"/>
  <c r="S38" i="4"/>
  <c r="U38" i="4"/>
  <c r="V38" i="4"/>
  <c r="X38" i="4"/>
  <c r="Y38" i="4"/>
  <c r="Z38" i="4"/>
  <c r="AA38" i="4"/>
  <c r="N39" i="4"/>
  <c r="U39" i="4" s="1"/>
  <c r="O39" i="4"/>
  <c r="P39" i="4"/>
  <c r="Q39" i="4"/>
  <c r="R39" i="4"/>
  <c r="S39" i="4"/>
  <c r="T39" i="4"/>
  <c r="V39" i="4"/>
  <c r="W39" i="4"/>
  <c r="X39" i="4"/>
  <c r="Y39" i="4"/>
  <c r="Z39" i="4"/>
  <c r="AA39" i="4"/>
  <c r="N40" i="4"/>
  <c r="T40" i="4" s="1"/>
  <c r="O40" i="4"/>
  <c r="P40" i="4"/>
  <c r="Q40" i="4"/>
  <c r="W40" i="4" s="1"/>
  <c r="R40" i="4"/>
  <c r="S40" i="4"/>
  <c r="U40" i="4"/>
  <c r="V40" i="4"/>
  <c r="X40" i="4"/>
  <c r="Y40" i="4"/>
  <c r="Z40" i="4"/>
  <c r="AA40" i="4"/>
  <c r="N41" i="4"/>
  <c r="U41" i="4" s="1"/>
  <c r="O41" i="4"/>
  <c r="P41" i="4"/>
  <c r="Q41" i="4"/>
  <c r="R41" i="4"/>
  <c r="S41" i="4"/>
  <c r="T41" i="4"/>
  <c r="V41" i="4"/>
  <c r="W41" i="4"/>
  <c r="X41" i="4"/>
  <c r="Y41" i="4"/>
  <c r="Z41" i="4"/>
  <c r="AA41" i="4"/>
  <c r="N42" i="4"/>
  <c r="T42" i="4" s="1"/>
  <c r="O42" i="4"/>
  <c r="P42" i="4"/>
  <c r="Q42" i="4"/>
  <c r="W42" i="4" s="1"/>
  <c r="R42" i="4"/>
  <c r="S42" i="4"/>
  <c r="U42" i="4"/>
  <c r="V42" i="4"/>
  <c r="X42" i="4"/>
  <c r="Y42" i="4"/>
  <c r="Z42" i="4"/>
  <c r="AA42" i="4"/>
  <c r="N43" i="4"/>
  <c r="U43" i="4" s="1"/>
  <c r="O43" i="4"/>
  <c r="P43" i="4"/>
  <c r="Q43" i="4"/>
  <c r="R43" i="4"/>
  <c r="S43" i="4"/>
  <c r="T43" i="4"/>
  <c r="V43" i="4"/>
  <c r="W43" i="4"/>
  <c r="X43" i="4"/>
  <c r="Y43" i="4"/>
  <c r="Z43" i="4"/>
  <c r="AA43" i="4"/>
  <c r="N44" i="4"/>
  <c r="T44" i="4" s="1"/>
  <c r="O44" i="4"/>
  <c r="P44" i="4"/>
  <c r="Q44" i="4"/>
  <c r="W44" i="4" s="1"/>
  <c r="R44" i="4"/>
  <c r="S44" i="4"/>
  <c r="U44" i="4"/>
  <c r="V44" i="4"/>
  <c r="X44" i="4"/>
  <c r="Y44" i="4"/>
  <c r="Z44" i="4"/>
  <c r="AA44" i="4"/>
  <c r="N45" i="4"/>
  <c r="U45" i="4" s="1"/>
  <c r="O45" i="4"/>
  <c r="P45" i="4"/>
  <c r="Q45" i="4"/>
  <c r="R45" i="4"/>
  <c r="S45" i="4"/>
  <c r="T45" i="4"/>
  <c r="V45" i="4"/>
  <c r="W45" i="4"/>
  <c r="X45" i="4"/>
  <c r="Y45" i="4"/>
  <c r="Z45" i="4"/>
  <c r="AA45" i="4"/>
  <c r="N46" i="4"/>
  <c r="T46" i="4" s="1"/>
  <c r="O46" i="4"/>
  <c r="P46" i="4"/>
  <c r="Q46" i="4"/>
  <c r="W46" i="4" s="1"/>
  <c r="R46" i="4"/>
  <c r="S46" i="4"/>
  <c r="U46" i="4"/>
  <c r="V46" i="4"/>
  <c r="X46" i="4"/>
  <c r="Y46" i="4"/>
  <c r="Z46" i="4"/>
  <c r="AA46" i="4"/>
  <c r="N47" i="4"/>
  <c r="U47" i="4" s="1"/>
  <c r="O47" i="4"/>
  <c r="P47" i="4"/>
  <c r="Q47" i="4"/>
  <c r="R47" i="4"/>
  <c r="S47" i="4"/>
  <c r="T47" i="4"/>
  <c r="V47" i="4"/>
  <c r="W47" i="4"/>
  <c r="X47" i="4"/>
  <c r="Y47" i="4"/>
  <c r="Z47" i="4"/>
  <c r="AA47" i="4"/>
  <c r="N48" i="4"/>
  <c r="T48" i="4" s="1"/>
  <c r="O48" i="4"/>
  <c r="P48" i="4"/>
  <c r="Q48" i="4"/>
  <c r="W48" i="4" s="1"/>
  <c r="R48" i="4"/>
  <c r="S48" i="4"/>
  <c r="U48" i="4"/>
  <c r="V48" i="4"/>
  <c r="X48" i="4"/>
  <c r="Y48" i="4"/>
  <c r="Z48" i="4"/>
  <c r="AA48" i="4"/>
  <c r="N49" i="4"/>
  <c r="U49" i="4" s="1"/>
  <c r="O49" i="4"/>
  <c r="P49" i="4"/>
  <c r="Q49" i="4"/>
  <c r="R49" i="4"/>
  <c r="S49" i="4"/>
  <c r="T49" i="4"/>
  <c r="V49" i="4"/>
  <c r="W49" i="4"/>
  <c r="X49" i="4"/>
  <c r="Y49" i="4"/>
  <c r="Z49" i="4"/>
  <c r="AA49" i="4"/>
  <c r="N50" i="4"/>
  <c r="T50" i="4" s="1"/>
  <c r="O50" i="4"/>
  <c r="P50" i="4"/>
  <c r="Q50" i="4"/>
  <c r="W50" i="4" s="1"/>
  <c r="R50" i="4"/>
  <c r="S50" i="4"/>
  <c r="U50" i="4"/>
  <c r="V50" i="4"/>
  <c r="X50" i="4"/>
  <c r="Y50" i="4"/>
  <c r="Z50" i="4"/>
  <c r="AA50" i="4"/>
  <c r="N51" i="4"/>
  <c r="U51" i="4" s="1"/>
  <c r="O51" i="4"/>
  <c r="P51" i="4"/>
  <c r="Q51" i="4"/>
  <c r="R51" i="4"/>
  <c r="S51" i="4"/>
  <c r="T51" i="4"/>
  <c r="V51" i="4"/>
  <c r="W51" i="4"/>
  <c r="X51" i="4"/>
  <c r="Y51" i="4"/>
  <c r="Z51" i="4"/>
  <c r="AA51" i="4"/>
  <c r="N52" i="4"/>
  <c r="T52" i="4" s="1"/>
  <c r="O52" i="4"/>
  <c r="P52" i="4"/>
  <c r="Q52" i="4"/>
  <c r="W52" i="4" s="1"/>
  <c r="R52" i="4"/>
  <c r="S52" i="4"/>
  <c r="U52" i="4"/>
  <c r="V52" i="4"/>
  <c r="X52" i="4"/>
  <c r="Y52" i="4"/>
  <c r="Z52" i="4"/>
  <c r="AA52" i="4"/>
  <c r="N53" i="4"/>
  <c r="U53" i="4" s="1"/>
  <c r="O53" i="4"/>
  <c r="P53" i="4"/>
  <c r="Q53" i="4"/>
  <c r="R53" i="4"/>
  <c r="S53" i="4"/>
  <c r="T53" i="4"/>
  <c r="V53" i="4"/>
  <c r="W53" i="4"/>
  <c r="X53" i="4"/>
  <c r="Y53" i="4"/>
  <c r="Z53" i="4"/>
  <c r="AA53" i="4"/>
  <c r="N54" i="4"/>
  <c r="T54" i="4" s="1"/>
  <c r="O54" i="4"/>
  <c r="P54" i="4"/>
  <c r="Q54" i="4"/>
  <c r="W54" i="4" s="1"/>
  <c r="R54" i="4"/>
  <c r="S54" i="4"/>
  <c r="U54" i="4"/>
  <c r="V54" i="4"/>
  <c r="X54" i="4"/>
  <c r="Y54" i="4"/>
  <c r="Z54" i="4"/>
  <c r="AA54" i="4"/>
  <c r="N55" i="4"/>
  <c r="U55" i="4" s="1"/>
  <c r="O55" i="4"/>
  <c r="P55" i="4"/>
  <c r="Q55" i="4"/>
  <c r="R55" i="4"/>
  <c r="S55" i="4"/>
  <c r="T55" i="4"/>
  <c r="V55" i="4"/>
  <c r="W55" i="4"/>
  <c r="X55" i="4"/>
  <c r="Y55" i="4"/>
  <c r="Z55" i="4"/>
  <c r="AA55" i="4"/>
  <c r="N56" i="4"/>
  <c r="T56" i="4" s="1"/>
  <c r="O56" i="4"/>
  <c r="P56" i="4"/>
  <c r="Q56" i="4"/>
  <c r="W56" i="4" s="1"/>
  <c r="R56" i="4"/>
  <c r="S56" i="4"/>
  <c r="U56" i="4"/>
  <c r="V56" i="4"/>
  <c r="X56" i="4"/>
  <c r="Y56" i="4"/>
  <c r="Z56" i="4"/>
  <c r="AA56" i="4"/>
  <c r="N57" i="4"/>
  <c r="U57" i="4" s="1"/>
  <c r="O57" i="4"/>
  <c r="P57" i="4"/>
  <c r="Q57" i="4"/>
  <c r="R57" i="4"/>
  <c r="S57" i="4"/>
  <c r="T57" i="4"/>
  <c r="V57" i="4"/>
  <c r="W57" i="4"/>
  <c r="X57" i="4"/>
  <c r="Y57" i="4"/>
  <c r="Z57" i="4"/>
  <c r="AA57" i="4"/>
  <c r="N58" i="4"/>
  <c r="T58" i="4" s="1"/>
  <c r="O58" i="4"/>
  <c r="P58" i="4"/>
  <c r="Q58" i="4"/>
  <c r="W58" i="4" s="1"/>
  <c r="R58" i="4"/>
  <c r="S58" i="4"/>
  <c r="U58" i="4"/>
  <c r="V58" i="4"/>
  <c r="X58" i="4"/>
  <c r="Y58" i="4"/>
  <c r="Z58" i="4"/>
  <c r="AA58" i="4"/>
  <c r="N59" i="4"/>
  <c r="U59" i="4" s="1"/>
  <c r="O59" i="4"/>
  <c r="P59" i="4"/>
  <c r="Q59" i="4"/>
  <c r="R59" i="4"/>
  <c r="S59" i="4"/>
  <c r="T59" i="4"/>
  <c r="V59" i="4"/>
  <c r="W59" i="4"/>
  <c r="X59" i="4"/>
  <c r="Y59" i="4"/>
  <c r="Z59" i="4"/>
  <c r="AA59" i="4"/>
  <c r="N60" i="4"/>
  <c r="T60" i="4" s="1"/>
  <c r="O60" i="4"/>
  <c r="P60" i="4"/>
  <c r="Q60" i="4"/>
  <c r="W60" i="4" s="1"/>
  <c r="R60" i="4"/>
  <c r="S60" i="4"/>
  <c r="U60" i="4"/>
  <c r="V60" i="4"/>
  <c r="X60" i="4"/>
  <c r="Y60" i="4"/>
  <c r="Z60" i="4"/>
  <c r="AA60" i="4"/>
  <c r="N61" i="4"/>
  <c r="U61" i="4" s="1"/>
  <c r="O61" i="4"/>
  <c r="P61" i="4"/>
  <c r="Q61" i="4"/>
  <c r="R61" i="4"/>
  <c r="S61" i="4"/>
  <c r="T61" i="4"/>
  <c r="V61" i="4"/>
  <c r="W61" i="4"/>
  <c r="X61" i="4"/>
  <c r="Y61" i="4"/>
  <c r="Z61" i="4"/>
  <c r="AA61" i="4"/>
  <c r="N62" i="4"/>
  <c r="T62" i="4" s="1"/>
  <c r="O62" i="4"/>
  <c r="P62" i="4"/>
  <c r="Q62" i="4"/>
  <c r="W62" i="4" s="1"/>
  <c r="R62" i="4"/>
  <c r="S62" i="4"/>
  <c r="U62" i="4"/>
  <c r="V62" i="4"/>
  <c r="X62" i="4"/>
  <c r="Y62" i="4"/>
  <c r="Z62" i="4"/>
  <c r="AA62" i="4"/>
  <c r="N63" i="4"/>
  <c r="U63" i="4" s="1"/>
  <c r="O63" i="4"/>
  <c r="P63" i="4"/>
  <c r="Q63" i="4"/>
  <c r="R63" i="4"/>
  <c r="S63" i="4"/>
  <c r="T63" i="4"/>
  <c r="V63" i="4"/>
  <c r="W63" i="4"/>
  <c r="X63" i="4"/>
  <c r="Y63" i="4"/>
  <c r="Z63" i="4"/>
  <c r="AA63" i="4"/>
  <c r="N64" i="4"/>
  <c r="T64" i="4" s="1"/>
  <c r="O64" i="4"/>
  <c r="P64" i="4"/>
  <c r="Q64" i="4"/>
  <c r="W64" i="4" s="1"/>
  <c r="R64" i="4"/>
  <c r="S64" i="4"/>
  <c r="U64" i="4"/>
  <c r="V64" i="4"/>
  <c r="X64" i="4"/>
  <c r="Y64" i="4"/>
  <c r="Z64" i="4"/>
  <c r="AA64" i="4"/>
  <c r="N65" i="4"/>
  <c r="U65" i="4" s="1"/>
  <c r="O65" i="4"/>
  <c r="P65" i="4"/>
  <c r="Q65" i="4"/>
  <c r="R65" i="4"/>
  <c r="S65" i="4"/>
  <c r="T65" i="4"/>
  <c r="V65" i="4"/>
  <c r="W65" i="4"/>
  <c r="X65" i="4"/>
  <c r="Y65" i="4"/>
  <c r="Z65" i="4"/>
  <c r="AA65" i="4"/>
  <c r="N66" i="4"/>
  <c r="T66" i="4" s="1"/>
  <c r="O66" i="4"/>
  <c r="P66" i="4"/>
  <c r="Q66" i="4"/>
  <c r="W66" i="4" s="1"/>
  <c r="R66" i="4"/>
  <c r="S66" i="4"/>
  <c r="U66" i="4"/>
  <c r="V66" i="4"/>
  <c r="X66" i="4"/>
  <c r="Y66" i="4"/>
  <c r="Z66" i="4"/>
  <c r="AA66" i="4"/>
  <c r="N67" i="4"/>
  <c r="U67" i="4" s="1"/>
  <c r="O67" i="4"/>
  <c r="P67" i="4"/>
  <c r="Q67" i="4"/>
  <c r="R67" i="4"/>
  <c r="S67" i="4"/>
  <c r="T67" i="4"/>
  <c r="V67" i="4"/>
  <c r="W67" i="4"/>
  <c r="X67" i="4"/>
  <c r="Y67" i="4"/>
  <c r="Z67" i="4"/>
  <c r="AA67" i="4"/>
  <c r="N68" i="4"/>
  <c r="T68" i="4" s="1"/>
  <c r="O68" i="4"/>
  <c r="P68" i="4"/>
  <c r="Q68" i="4"/>
  <c r="W68" i="4" s="1"/>
  <c r="R68" i="4"/>
  <c r="S68" i="4"/>
  <c r="U68" i="4"/>
  <c r="V68" i="4"/>
  <c r="X68" i="4"/>
  <c r="Y68" i="4"/>
  <c r="Z68" i="4"/>
  <c r="AA68" i="4"/>
  <c r="N69" i="4"/>
  <c r="U69" i="4" s="1"/>
  <c r="O69" i="4"/>
  <c r="P69" i="4"/>
  <c r="Q69" i="4"/>
  <c r="R69" i="4"/>
  <c r="S69" i="4"/>
  <c r="T69" i="4"/>
  <c r="V69" i="4"/>
  <c r="W69" i="4"/>
  <c r="X69" i="4"/>
  <c r="Y69" i="4"/>
  <c r="Z69" i="4"/>
  <c r="AA69" i="4"/>
  <c r="N70" i="4"/>
  <c r="T70" i="4" s="1"/>
  <c r="O70" i="4"/>
  <c r="P70" i="4"/>
  <c r="Q70" i="4"/>
  <c r="W70" i="4" s="1"/>
  <c r="R70" i="4"/>
  <c r="S70" i="4"/>
  <c r="U70" i="4"/>
  <c r="V70" i="4"/>
  <c r="X70" i="4"/>
  <c r="Y70" i="4"/>
  <c r="Z70" i="4"/>
  <c r="AA70" i="4"/>
  <c r="N71" i="4"/>
  <c r="U71" i="4" s="1"/>
  <c r="O71" i="4"/>
  <c r="P71" i="4"/>
  <c r="Q71" i="4"/>
  <c r="R71" i="4"/>
  <c r="S71" i="4"/>
  <c r="T71" i="4"/>
  <c r="V71" i="4"/>
  <c r="W71" i="4"/>
  <c r="X71" i="4"/>
  <c r="Y71" i="4"/>
  <c r="Z71" i="4"/>
  <c r="AA71" i="4"/>
  <c r="N72" i="4"/>
  <c r="O72" i="4"/>
  <c r="P72" i="4"/>
  <c r="Q72" i="4"/>
  <c r="W72" i="4" s="1"/>
  <c r="R72" i="4"/>
  <c r="S72" i="4"/>
  <c r="T72" i="4"/>
  <c r="U72" i="4"/>
  <c r="V72" i="4"/>
  <c r="X72" i="4"/>
  <c r="Y72" i="4"/>
  <c r="Z72" i="4"/>
  <c r="AA72" i="4"/>
  <c r="N73" i="4"/>
  <c r="U73" i="4" s="1"/>
  <c r="O73" i="4"/>
  <c r="P73" i="4"/>
  <c r="Q73" i="4"/>
  <c r="R73" i="4"/>
  <c r="S73" i="4"/>
  <c r="V73" i="4"/>
  <c r="W73" i="4"/>
  <c r="X73" i="4"/>
  <c r="Y73" i="4"/>
  <c r="Z73" i="4"/>
  <c r="AA73" i="4"/>
  <c r="N74" i="4"/>
  <c r="T74" i="4" s="1"/>
  <c r="O74" i="4"/>
  <c r="P74" i="4"/>
  <c r="Q74" i="4"/>
  <c r="W74" i="4" s="1"/>
  <c r="R74" i="4"/>
  <c r="S74" i="4"/>
  <c r="U74" i="4"/>
  <c r="V74" i="4"/>
  <c r="X74" i="4"/>
  <c r="Y74" i="4"/>
  <c r="Z74" i="4"/>
  <c r="AA74" i="4"/>
  <c r="N75" i="4"/>
  <c r="U75" i="4" s="1"/>
  <c r="O75" i="4"/>
  <c r="P75" i="4"/>
  <c r="Q75" i="4"/>
  <c r="R75" i="4"/>
  <c r="S75" i="4"/>
  <c r="T75" i="4"/>
  <c r="V75" i="4"/>
  <c r="W75" i="4"/>
  <c r="X75" i="4"/>
  <c r="Y75" i="4"/>
  <c r="Z75" i="4"/>
  <c r="AA75" i="4"/>
  <c r="N76" i="4"/>
  <c r="O76" i="4"/>
  <c r="P76" i="4"/>
  <c r="Q76" i="4"/>
  <c r="W76" i="4" s="1"/>
  <c r="R76" i="4"/>
  <c r="S76" i="4"/>
  <c r="T76" i="4"/>
  <c r="U76" i="4"/>
  <c r="V76" i="4"/>
  <c r="X76" i="4"/>
  <c r="Y76" i="4"/>
  <c r="Z76" i="4"/>
  <c r="AA76" i="4"/>
  <c r="N77" i="4"/>
  <c r="U77" i="4" s="1"/>
  <c r="O77" i="4"/>
  <c r="P77" i="4"/>
  <c r="Q77" i="4"/>
  <c r="R77" i="4"/>
  <c r="S77" i="4"/>
  <c r="V77" i="4"/>
  <c r="W77" i="4"/>
  <c r="X77" i="4"/>
  <c r="Y77" i="4"/>
  <c r="Z77" i="4"/>
  <c r="AA77" i="4"/>
  <c r="N78" i="4"/>
  <c r="T78" i="4" s="1"/>
  <c r="O78" i="4"/>
  <c r="P78" i="4"/>
  <c r="Q78" i="4"/>
  <c r="W78" i="4" s="1"/>
  <c r="R78" i="4"/>
  <c r="S78" i="4"/>
  <c r="U78" i="4"/>
  <c r="V78" i="4"/>
  <c r="X78" i="4"/>
  <c r="Y78" i="4"/>
  <c r="Z78" i="4"/>
  <c r="AA78" i="4"/>
  <c r="N79" i="4"/>
  <c r="U79" i="4" s="1"/>
  <c r="O79" i="4"/>
  <c r="P79" i="4"/>
  <c r="Q79" i="4"/>
  <c r="R79" i="4"/>
  <c r="S79" i="4"/>
  <c r="T79" i="4"/>
  <c r="V79" i="4"/>
  <c r="W79" i="4"/>
  <c r="X79" i="4"/>
  <c r="Y79" i="4"/>
  <c r="Z79" i="4"/>
  <c r="AA79" i="4"/>
  <c r="N80" i="4"/>
  <c r="O80" i="4"/>
  <c r="P80" i="4"/>
  <c r="Q80" i="4"/>
  <c r="W80" i="4" s="1"/>
  <c r="R80" i="4"/>
  <c r="S80" i="4"/>
  <c r="T80" i="4"/>
  <c r="U80" i="4"/>
  <c r="V80" i="4"/>
  <c r="X80" i="4"/>
  <c r="Y80" i="4"/>
  <c r="Z80" i="4"/>
  <c r="AA80" i="4"/>
  <c r="N81" i="4"/>
  <c r="U81" i="4" s="1"/>
  <c r="O81" i="4"/>
  <c r="P81" i="4"/>
  <c r="Q81" i="4"/>
  <c r="R81" i="4"/>
  <c r="S81" i="4"/>
  <c r="V81" i="4"/>
  <c r="W81" i="4"/>
  <c r="X81" i="4"/>
  <c r="Y81" i="4"/>
  <c r="Z81" i="4"/>
  <c r="AA81" i="4"/>
  <c r="N82" i="4"/>
  <c r="T82" i="4" s="1"/>
  <c r="O82" i="4"/>
  <c r="P82" i="4"/>
  <c r="Q82" i="4"/>
  <c r="W82" i="4" s="1"/>
  <c r="R82" i="4"/>
  <c r="S82" i="4"/>
  <c r="U82" i="4"/>
  <c r="V82" i="4"/>
  <c r="X82" i="4"/>
  <c r="Y82" i="4"/>
  <c r="Z82" i="4"/>
  <c r="AA82" i="4"/>
  <c r="N83" i="4"/>
  <c r="U83" i="4" s="1"/>
  <c r="O83" i="4"/>
  <c r="P83" i="4"/>
  <c r="Q83" i="4"/>
  <c r="R83" i="4"/>
  <c r="S83" i="4"/>
  <c r="T83" i="4"/>
  <c r="V83" i="4"/>
  <c r="W83" i="4"/>
  <c r="X83" i="4"/>
  <c r="Y83" i="4"/>
  <c r="Z83" i="4"/>
  <c r="AA83" i="4"/>
  <c r="N84" i="4"/>
  <c r="O84" i="4"/>
  <c r="P84" i="4"/>
  <c r="Q84" i="4"/>
  <c r="W84" i="4" s="1"/>
  <c r="R84" i="4"/>
  <c r="S84" i="4"/>
  <c r="T84" i="4"/>
  <c r="U84" i="4"/>
  <c r="V84" i="4"/>
  <c r="X84" i="4"/>
  <c r="Y84" i="4"/>
  <c r="Z84" i="4"/>
  <c r="AA84" i="4"/>
  <c r="N85" i="4"/>
  <c r="U85" i="4" s="1"/>
  <c r="O85" i="4"/>
  <c r="P85" i="4"/>
  <c r="Q85" i="4"/>
  <c r="R85" i="4"/>
  <c r="S85" i="4"/>
  <c r="V85" i="4"/>
  <c r="W85" i="4"/>
  <c r="X85" i="4"/>
  <c r="Y85" i="4"/>
  <c r="Z85" i="4"/>
  <c r="AA85" i="4"/>
  <c r="N86" i="4"/>
  <c r="T86" i="4" s="1"/>
  <c r="O86" i="4"/>
  <c r="P86" i="4"/>
  <c r="Q86" i="4"/>
  <c r="W86" i="4" s="1"/>
  <c r="R86" i="4"/>
  <c r="S86" i="4"/>
  <c r="U86" i="4"/>
  <c r="V86" i="4"/>
  <c r="X86" i="4"/>
  <c r="Y86" i="4"/>
  <c r="Z86" i="4"/>
  <c r="AA86" i="4"/>
  <c r="N87" i="4"/>
  <c r="U87" i="4" s="1"/>
  <c r="O87" i="4"/>
  <c r="P87" i="4"/>
  <c r="Q87" i="4"/>
  <c r="R87" i="4"/>
  <c r="S87" i="4"/>
  <c r="T87" i="4"/>
  <c r="V87" i="4"/>
  <c r="W87" i="4"/>
  <c r="X87" i="4"/>
  <c r="Y87" i="4"/>
  <c r="Z87" i="4"/>
  <c r="AA87" i="4"/>
  <c r="N88" i="4"/>
  <c r="O88" i="4"/>
  <c r="P88" i="4"/>
  <c r="Q88" i="4"/>
  <c r="W88" i="4" s="1"/>
  <c r="R88" i="4"/>
  <c r="S88" i="4"/>
  <c r="T88" i="4"/>
  <c r="U88" i="4"/>
  <c r="V88" i="4"/>
  <c r="X88" i="4"/>
  <c r="Y88" i="4"/>
  <c r="Z88" i="4"/>
  <c r="AA88" i="4"/>
  <c r="N89" i="4"/>
  <c r="W89" i="4" s="1"/>
  <c r="O89" i="4"/>
  <c r="P89" i="4"/>
  <c r="Q89" i="4"/>
  <c r="R89" i="4"/>
  <c r="S89" i="4"/>
  <c r="V89" i="4"/>
  <c r="X89" i="4"/>
  <c r="Y89" i="4"/>
  <c r="Z89" i="4"/>
  <c r="AA89" i="4"/>
  <c r="N90" i="4"/>
  <c r="O90" i="4"/>
  <c r="P90" i="4"/>
  <c r="Q90" i="4"/>
  <c r="W90" i="4" s="1"/>
  <c r="R90" i="4"/>
  <c r="S90" i="4"/>
  <c r="T90" i="4"/>
  <c r="U90" i="4"/>
  <c r="V90" i="4"/>
  <c r="X90" i="4"/>
  <c r="Y90" i="4"/>
  <c r="Z90" i="4"/>
  <c r="AA90" i="4"/>
  <c r="N91" i="4"/>
  <c r="W91" i="4" s="1"/>
  <c r="O91" i="4"/>
  <c r="P91" i="4"/>
  <c r="Q91" i="4"/>
  <c r="R91" i="4"/>
  <c r="S91" i="4"/>
  <c r="V91" i="4"/>
  <c r="X91" i="4"/>
  <c r="Y91" i="4"/>
  <c r="Z91" i="4"/>
  <c r="AA91" i="4"/>
  <c r="N92" i="4"/>
  <c r="O92" i="4"/>
  <c r="P92" i="4"/>
  <c r="Q92" i="4"/>
  <c r="W92" i="4" s="1"/>
  <c r="R92" i="4"/>
  <c r="S92" i="4"/>
  <c r="T92" i="4"/>
  <c r="U92" i="4"/>
  <c r="V92" i="4"/>
  <c r="X92" i="4"/>
  <c r="Y92" i="4"/>
  <c r="Z92" i="4"/>
  <c r="AA92" i="4"/>
  <c r="N93" i="4"/>
  <c r="W93" i="4" s="1"/>
  <c r="O93" i="4"/>
  <c r="P93" i="4"/>
  <c r="Q93" i="4"/>
  <c r="R93" i="4"/>
  <c r="S93" i="4"/>
  <c r="V93" i="4"/>
  <c r="X93" i="4"/>
  <c r="Y93" i="4"/>
  <c r="Z93" i="4"/>
  <c r="AA93" i="4"/>
  <c r="N94" i="4"/>
  <c r="O94" i="4"/>
  <c r="P94" i="4"/>
  <c r="Q94" i="4"/>
  <c r="W94" i="4" s="1"/>
  <c r="R94" i="4"/>
  <c r="S94" i="4"/>
  <c r="T94" i="4"/>
  <c r="U94" i="4"/>
  <c r="V94" i="4"/>
  <c r="X94" i="4"/>
  <c r="Y94" i="4"/>
  <c r="Z94" i="4"/>
  <c r="AA94" i="4"/>
  <c r="N95" i="4"/>
  <c r="W95" i="4" s="1"/>
  <c r="O95" i="4"/>
  <c r="P95" i="4"/>
  <c r="Q95" i="4"/>
  <c r="R95" i="4"/>
  <c r="S95" i="4"/>
  <c r="V95" i="4"/>
  <c r="X95" i="4"/>
  <c r="Y95" i="4"/>
  <c r="Z95" i="4"/>
  <c r="AA95" i="4"/>
  <c r="N96" i="4"/>
  <c r="O96" i="4"/>
  <c r="P96" i="4"/>
  <c r="Q96" i="4"/>
  <c r="W96" i="4" s="1"/>
  <c r="R96" i="4"/>
  <c r="S96" i="4"/>
  <c r="T96" i="4"/>
  <c r="U96" i="4"/>
  <c r="V96" i="4"/>
  <c r="X96" i="4"/>
  <c r="Y96" i="4"/>
  <c r="Z96" i="4"/>
  <c r="AA96" i="4"/>
  <c r="N97" i="4"/>
  <c r="W97" i="4" s="1"/>
  <c r="O97" i="4"/>
  <c r="P97" i="4"/>
  <c r="Q97" i="4"/>
  <c r="R97" i="4"/>
  <c r="S97" i="4"/>
  <c r="V97" i="4"/>
  <c r="X97" i="4"/>
  <c r="Y97" i="4"/>
  <c r="Z97" i="4"/>
  <c r="AA97" i="4"/>
  <c r="N98" i="4"/>
  <c r="O98" i="4"/>
  <c r="P98" i="4"/>
  <c r="Q98" i="4"/>
  <c r="W98" i="4" s="1"/>
  <c r="R98" i="4"/>
  <c r="S98" i="4"/>
  <c r="T98" i="4"/>
  <c r="U98" i="4"/>
  <c r="V98" i="4"/>
  <c r="X98" i="4"/>
  <c r="Y98" i="4"/>
  <c r="Z98" i="4"/>
  <c r="AA98" i="4"/>
  <c r="N99" i="4"/>
  <c r="W99" i="4" s="1"/>
  <c r="O99" i="4"/>
  <c r="P99" i="4"/>
  <c r="Q99" i="4"/>
  <c r="R99" i="4"/>
  <c r="S99" i="4"/>
  <c r="V99" i="4"/>
  <c r="X99" i="4"/>
  <c r="Y99" i="4"/>
  <c r="Z99" i="4"/>
  <c r="AA99" i="4"/>
  <c r="N100" i="4"/>
  <c r="O100" i="4"/>
  <c r="P100" i="4"/>
  <c r="Q100" i="4"/>
  <c r="W100" i="4" s="1"/>
  <c r="R100" i="4"/>
  <c r="S100" i="4"/>
  <c r="T100" i="4"/>
  <c r="U100" i="4"/>
  <c r="V100" i="4"/>
  <c r="X100" i="4"/>
  <c r="Y100" i="4"/>
  <c r="Z100" i="4"/>
  <c r="AA100" i="4"/>
  <c r="N101" i="4"/>
  <c r="W101" i="4" s="1"/>
  <c r="O101" i="4"/>
  <c r="P101" i="4"/>
  <c r="Q101" i="4"/>
  <c r="R101" i="4"/>
  <c r="S101" i="4"/>
  <c r="V101" i="4"/>
  <c r="X101" i="4"/>
  <c r="Y101" i="4"/>
  <c r="Z101" i="4"/>
  <c r="AA101" i="4"/>
  <c r="N102" i="4"/>
  <c r="O102" i="4"/>
  <c r="P102" i="4"/>
  <c r="Q102" i="4"/>
  <c r="W102" i="4" s="1"/>
  <c r="R102" i="4"/>
  <c r="S102" i="4"/>
  <c r="T102" i="4"/>
  <c r="U102" i="4"/>
  <c r="V102" i="4"/>
  <c r="X102" i="4"/>
  <c r="Y102" i="4"/>
  <c r="Z102" i="4"/>
  <c r="AA102" i="4"/>
  <c r="AA3" i="4"/>
  <c r="Z3" i="4"/>
  <c r="Y3" i="4"/>
  <c r="X3" i="4"/>
  <c r="W3" i="4"/>
  <c r="V3" i="4"/>
  <c r="U3" i="4"/>
  <c r="T3" i="4"/>
  <c r="S3" i="4"/>
  <c r="R3" i="4"/>
  <c r="Q3" i="4"/>
  <c r="P3" i="4"/>
  <c r="O3" i="4"/>
  <c r="N3" i="4"/>
  <c r="U101" i="4" l="1"/>
  <c r="U99" i="4"/>
  <c r="U97" i="4"/>
  <c r="U95" i="4"/>
  <c r="U93" i="4"/>
  <c r="U91" i="4"/>
  <c r="U89" i="4"/>
  <c r="T101" i="4"/>
  <c r="T99" i="4"/>
  <c r="T97" i="4"/>
  <c r="T95" i="4"/>
  <c r="T93" i="4"/>
  <c r="T91" i="4"/>
  <c r="T89" i="4"/>
  <c r="T85" i="4"/>
  <c r="T81" i="4"/>
  <c r="T77" i="4"/>
  <c r="T73" i="4"/>
  <c r="R8" i="1" l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7" i="1"/>
  <c r="V8" i="1" l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L8" i="1" l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P8" i="5" l="1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P39" i="5"/>
  <c r="P40" i="5"/>
  <c r="P41" i="5"/>
  <c r="P42" i="5"/>
  <c r="P43" i="5"/>
  <c r="P44" i="5"/>
  <c r="P45" i="5"/>
  <c r="P46" i="5"/>
  <c r="P47" i="5"/>
  <c r="P48" i="5"/>
  <c r="P49" i="5"/>
  <c r="P50" i="5"/>
  <c r="P51" i="5"/>
  <c r="P52" i="5"/>
  <c r="P53" i="5"/>
  <c r="P54" i="5"/>
  <c r="P55" i="5"/>
  <c r="P56" i="5"/>
  <c r="P57" i="5"/>
  <c r="P58" i="5"/>
  <c r="P59" i="5"/>
  <c r="P60" i="5"/>
  <c r="P61" i="5"/>
  <c r="P62" i="5"/>
  <c r="P63" i="5"/>
  <c r="P64" i="5"/>
  <c r="P65" i="5"/>
  <c r="P66" i="5"/>
  <c r="P67" i="5"/>
  <c r="P68" i="5"/>
  <c r="P69" i="5"/>
  <c r="P70" i="5"/>
  <c r="P71" i="5"/>
  <c r="P72" i="5"/>
  <c r="P73" i="5"/>
  <c r="P74" i="5"/>
  <c r="P75" i="5"/>
  <c r="P76" i="5"/>
  <c r="P77" i="5"/>
  <c r="P78" i="5"/>
  <c r="P79" i="5"/>
  <c r="P80" i="5"/>
  <c r="P81" i="5"/>
  <c r="P82" i="5"/>
  <c r="P83" i="5"/>
  <c r="P84" i="5"/>
  <c r="P85" i="5"/>
  <c r="P86" i="5"/>
  <c r="P87" i="5"/>
  <c r="P88" i="5"/>
  <c r="P89" i="5"/>
  <c r="P90" i="5"/>
  <c r="P91" i="5"/>
  <c r="P92" i="5"/>
  <c r="P93" i="5"/>
  <c r="P94" i="5"/>
  <c r="P95" i="5"/>
  <c r="P96" i="5"/>
  <c r="P97" i="5"/>
  <c r="P98" i="5"/>
  <c r="P99" i="5"/>
  <c r="P100" i="5"/>
  <c r="P101" i="5"/>
  <c r="P102" i="5"/>
  <c r="P103" i="5"/>
  <c r="P104" i="5"/>
  <c r="P105" i="5"/>
  <c r="P106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6" i="5"/>
  <c r="O57" i="5"/>
  <c r="O58" i="5"/>
  <c r="O59" i="5"/>
  <c r="O60" i="5"/>
  <c r="O61" i="5"/>
  <c r="O62" i="5"/>
  <c r="O63" i="5"/>
  <c r="O64" i="5"/>
  <c r="O65" i="5"/>
  <c r="O66" i="5"/>
  <c r="O67" i="5"/>
  <c r="O68" i="5"/>
  <c r="O69" i="5"/>
  <c r="O70" i="5"/>
  <c r="O71" i="5"/>
  <c r="O72" i="5"/>
  <c r="O73" i="5"/>
  <c r="O74" i="5"/>
  <c r="O75" i="5"/>
  <c r="O76" i="5"/>
  <c r="O77" i="5"/>
  <c r="O78" i="5"/>
  <c r="O79" i="5"/>
  <c r="O80" i="5"/>
  <c r="O81" i="5"/>
  <c r="O82" i="5"/>
  <c r="O83" i="5"/>
  <c r="O84" i="5"/>
  <c r="O85" i="5"/>
  <c r="O86" i="5"/>
  <c r="O87" i="5"/>
  <c r="O88" i="5"/>
  <c r="O89" i="5"/>
  <c r="O90" i="5"/>
  <c r="O91" i="5"/>
  <c r="O92" i="5"/>
  <c r="O93" i="5"/>
  <c r="O94" i="5"/>
  <c r="O95" i="5"/>
  <c r="O96" i="5"/>
  <c r="O97" i="5"/>
  <c r="O98" i="5"/>
  <c r="O99" i="5"/>
  <c r="O100" i="5"/>
  <c r="O101" i="5"/>
  <c r="O102" i="5"/>
  <c r="O103" i="5"/>
  <c r="O104" i="5"/>
  <c r="O105" i="5"/>
  <c r="O106" i="5"/>
  <c r="Q8" i="5"/>
  <c r="R8" i="5"/>
  <c r="Q9" i="5"/>
  <c r="R9" i="5"/>
  <c r="Q10" i="5"/>
  <c r="R10" i="5"/>
  <c r="Q11" i="5"/>
  <c r="R11" i="5"/>
  <c r="Q12" i="5"/>
  <c r="R12" i="5"/>
  <c r="Q13" i="5"/>
  <c r="R13" i="5"/>
  <c r="Q14" i="5"/>
  <c r="R14" i="5"/>
  <c r="Q15" i="5"/>
  <c r="R15" i="5"/>
  <c r="Q16" i="5"/>
  <c r="R16" i="5"/>
  <c r="Q17" i="5"/>
  <c r="R17" i="5"/>
  <c r="Q18" i="5"/>
  <c r="R18" i="5"/>
  <c r="Q19" i="5"/>
  <c r="R19" i="5"/>
  <c r="Q20" i="5"/>
  <c r="R20" i="5"/>
  <c r="Q21" i="5"/>
  <c r="R21" i="5"/>
  <c r="Q22" i="5"/>
  <c r="R22" i="5"/>
  <c r="Q23" i="5"/>
  <c r="R23" i="5"/>
  <c r="Q24" i="5"/>
  <c r="R24" i="5"/>
  <c r="Q25" i="5"/>
  <c r="R25" i="5"/>
  <c r="Q26" i="5"/>
  <c r="R26" i="5"/>
  <c r="Q27" i="5"/>
  <c r="R27" i="5"/>
  <c r="Q28" i="5"/>
  <c r="R28" i="5"/>
  <c r="Q29" i="5"/>
  <c r="R29" i="5"/>
  <c r="Q30" i="5"/>
  <c r="R30" i="5"/>
  <c r="Q31" i="5"/>
  <c r="R31" i="5"/>
  <c r="Q32" i="5"/>
  <c r="R32" i="5"/>
  <c r="Q33" i="5"/>
  <c r="R33" i="5"/>
  <c r="Q34" i="5"/>
  <c r="R34" i="5"/>
  <c r="Q35" i="5"/>
  <c r="R35" i="5"/>
  <c r="Q36" i="5"/>
  <c r="R36" i="5"/>
  <c r="Q37" i="5"/>
  <c r="R37" i="5"/>
  <c r="Q38" i="5"/>
  <c r="R38" i="5"/>
  <c r="Q39" i="5"/>
  <c r="R39" i="5"/>
  <c r="Q40" i="5"/>
  <c r="R40" i="5"/>
  <c r="Q41" i="5"/>
  <c r="R41" i="5"/>
  <c r="Q42" i="5"/>
  <c r="R42" i="5"/>
  <c r="Q43" i="5"/>
  <c r="R43" i="5"/>
  <c r="Q44" i="5"/>
  <c r="R44" i="5"/>
  <c r="Q45" i="5"/>
  <c r="R45" i="5"/>
  <c r="Q46" i="5"/>
  <c r="R46" i="5"/>
  <c r="Q47" i="5"/>
  <c r="R47" i="5"/>
  <c r="Q48" i="5"/>
  <c r="R48" i="5"/>
  <c r="Q49" i="5"/>
  <c r="R49" i="5"/>
  <c r="Q50" i="5"/>
  <c r="R50" i="5"/>
  <c r="Q51" i="5"/>
  <c r="R51" i="5"/>
  <c r="Q52" i="5"/>
  <c r="R52" i="5"/>
  <c r="Q53" i="5"/>
  <c r="R53" i="5"/>
  <c r="Q54" i="5"/>
  <c r="R54" i="5"/>
  <c r="Q55" i="5"/>
  <c r="R55" i="5"/>
  <c r="Q56" i="5"/>
  <c r="R56" i="5"/>
  <c r="Q57" i="5"/>
  <c r="R57" i="5"/>
  <c r="Q58" i="5"/>
  <c r="R58" i="5"/>
  <c r="Q59" i="5"/>
  <c r="R59" i="5"/>
  <c r="Q60" i="5"/>
  <c r="R60" i="5"/>
  <c r="Q61" i="5"/>
  <c r="R61" i="5"/>
  <c r="Q62" i="5"/>
  <c r="R62" i="5"/>
  <c r="Q63" i="5"/>
  <c r="R63" i="5"/>
  <c r="Q64" i="5"/>
  <c r="R64" i="5"/>
  <c r="Q65" i="5"/>
  <c r="R65" i="5"/>
  <c r="Q66" i="5"/>
  <c r="R66" i="5"/>
  <c r="Q67" i="5"/>
  <c r="R67" i="5"/>
  <c r="Q68" i="5"/>
  <c r="R68" i="5"/>
  <c r="Q69" i="5"/>
  <c r="R69" i="5"/>
  <c r="Q70" i="5"/>
  <c r="R70" i="5"/>
  <c r="Q71" i="5"/>
  <c r="R71" i="5"/>
  <c r="Q72" i="5"/>
  <c r="R72" i="5"/>
  <c r="Q73" i="5"/>
  <c r="R73" i="5"/>
  <c r="Q74" i="5"/>
  <c r="R74" i="5"/>
  <c r="Q75" i="5"/>
  <c r="R75" i="5"/>
  <c r="Q76" i="5"/>
  <c r="R76" i="5"/>
  <c r="Q77" i="5"/>
  <c r="R77" i="5"/>
  <c r="Q78" i="5"/>
  <c r="R78" i="5"/>
  <c r="Q79" i="5"/>
  <c r="R79" i="5"/>
  <c r="Q80" i="5"/>
  <c r="R80" i="5"/>
  <c r="Q81" i="5"/>
  <c r="R81" i="5"/>
  <c r="Q82" i="5"/>
  <c r="R82" i="5"/>
  <c r="Q83" i="5"/>
  <c r="R83" i="5"/>
  <c r="Q84" i="5"/>
  <c r="R84" i="5"/>
  <c r="Q85" i="5"/>
  <c r="R85" i="5"/>
  <c r="Q86" i="5"/>
  <c r="R86" i="5"/>
  <c r="Q87" i="5"/>
  <c r="R87" i="5"/>
  <c r="Q88" i="5"/>
  <c r="R88" i="5"/>
  <c r="Q89" i="5"/>
  <c r="R89" i="5"/>
  <c r="Q90" i="5"/>
  <c r="R90" i="5"/>
  <c r="Q91" i="5"/>
  <c r="R91" i="5"/>
  <c r="Q92" i="5"/>
  <c r="R92" i="5"/>
  <c r="Q93" i="5"/>
  <c r="R93" i="5"/>
  <c r="Q94" i="5"/>
  <c r="R94" i="5"/>
  <c r="Q95" i="5"/>
  <c r="R95" i="5"/>
  <c r="Q96" i="5"/>
  <c r="R96" i="5"/>
  <c r="Q97" i="5"/>
  <c r="R97" i="5"/>
  <c r="Q98" i="5"/>
  <c r="R98" i="5"/>
  <c r="Q99" i="5"/>
  <c r="R99" i="5"/>
  <c r="Q100" i="5"/>
  <c r="R100" i="5"/>
  <c r="Q101" i="5"/>
  <c r="R101" i="5"/>
  <c r="Q102" i="5"/>
  <c r="R102" i="5"/>
  <c r="Q103" i="5"/>
  <c r="R103" i="5"/>
  <c r="Q104" i="5"/>
  <c r="R104" i="5"/>
  <c r="Q105" i="5"/>
  <c r="R105" i="5"/>
  <c r="Q106" i="5"/>
  <c r="R106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06" i="5"/>
  <c r="AA8" i="1"/>
  <c r="AB8" i="1"/>
  <c r="AA9" i="1"/>
  <c r="AB9" i="1"/>
  <c r="AA10" i="1"/>
  <c r="AB10" i="1"/>
  <c r="AA11" i="1"/>
  <c r="AB11" i="1"/>
  <c r="AA12" i="1"/>
  <c r="AB12" i="1"/>
  <c r="AA13" i="1"/>
  <c r="AB13" i="1"/>
  <c r="AA14" i="1"/>
  <c r="AB14" i="1"/>
  <c r="AA15" i="1"/>
  <c r="AB15" i="1"/>
  <c r="AA16" i="1"/>
  <c r="AB16" i="1"/>
  <c r="AA17" i="1"/>
  <c r="AB17" i="1"/>
  <c r="AA18" i="1"/>
  <c r="AB18" i="1"/>
  <c r="AA19" i="1"/>
  <c r="AB19" i="1"/>
  <c r="AA20" i="1"/>
  <c r="AB20" i="1"/>
  <c r="AA21" i="1"/>
  <c r="AB21" i="1"/>
  <c r="AA22" i="1"/>
  <c r="AB22" i="1"/>
  <c r="AA23" i="1"/>
  <c r="AB23" i="1"/>
  <c r="AA24" i="1"/>
  <c r="AB24" i="1"/>
  <c r="AA25" i="1"/>
  <c r="AB25" i="1"/>
  <c r="AA26" i="1"/>
  <c r="AB26" i="1"/>
  <c r="AA27" i="1"/>
  <c r="AB27" i="1"/>
  <c r="AA28" i="1"/>
  <c r="AB28" i="1"/>
  <c r="AA29" i="1"/>
  <c r="AB29" i="1"/>
  <c r="AA30" i="1"/>
  <c r="AB30" i="1"/>
  <c r="AA31" i="1"/>
  <c r="AB31" i="1"/>
  <c r="AA32" i="1"/>
  <c r="AB32" i="1"/>
  <c r="AA33" i="1"/>
  <c r="AB33" i="1"/>
  <c r="AA34" i="1"/>
  <c r="AB34" i="1"/>
  <c r="AA35" i="1"/>
  <c r="AB35" i="1"/>
  <c r="AA36" i="1"/>
  <c r="AB36" i="1"/>
  <c r="AA37" i="1"/>
  <c r="AB37" i="1"/>
  <c r="AA38" i="1"/>
  <c r="AB38" i="1"/>
  <c r="AA39" i="1"/>
  <c r="AB39" i="1"/>
  <c r="AA40" i="1"/>
  <c r="AB40" i="1"/>
  <c r="AA41" i="1"/>
  <c r="AB41" i="1"/>
  <c r="AA42" i="1"/>
  <c r="AB42" i="1"/>
  <c r="AA43" i="1"/>
  <c r="AB43" i="1"/>
  <c r="AA44" i="1"/>
  <c r="AB44" i="1"/>
  <c r="AA45" i="1"/>
  <c r="AB45" i="1"/>
  <c r="AA46" i="1"/>
  <c r="AB46" i="1"/>
  <c r="AA47" i="1"/>
  <c r="AB47" i="1"/>
  <c r="AA48" i="1"/>
  <c r="AB48" i="1"/>
  <c r="AA49" i="1"/>
  <c r="AB49" i="1"/>
  <c r="AA50" i="1"/>
  <c r="AB50" i="1"/>
  <c r="AA51" i="1"/>
  <c r="AB51" i="1"/>
  <c r="AA52" i="1"/>
  <c r="AB52" i="1"/>
  <c r="AA53" i="1"/>
  <c r="AB53" i="1"/>
  <c r="AA54" i="1"/>
  <c r="AB54" i="1"/>
  <c r="AA55" i="1"/>
  <c r="AB55" i="1"/>
  <c r="AA56" i="1"/>
  <c r="AB56" i="1"/>
  <c r="AA57" i="1"/>
  <c r="AB57" i="1"/>
  <c r="AA58" i="1"/>
  <c r="AB58" i="1"/>
  <c r="AA59" i="1"/>
  <c r="AB59" i="1"/>
  <c r="AA60" i="1"/>
  <c r="AB60" i="1"/>
  <c r="AA61" i="1"/>
  <c r="AB61" i="1"/>
  <c r="AA62" i="1"/>
  <c r="AB62" i="1"/>
  <c r="AA63" i="1"/>
  <c r="AB63" i="1"/>
  <c r="AA64" i="1"/>
  <c r="AB64" i="1"/>
  <c r="AA65" i="1"/>
  <c r="AB65" i="1"/>
  <c r="AA66" i="1"/>
  <c r="AB66" i="1"/>
  <c r="AA67" i="1"/>
  <c r="AB67" i="1"/>
  <c r="AA68" i="1"/>
  <c r="AB68" i="1"/>
  <c r="AA69" i="1"/>
  <c r="AB69" i="1"/>
  <c r="AA70" i="1"/>
  <c r="AB70" i="1"/>
  <c r="AA71" i="1"/>
  <c r="AB71" i="1"/>
  <c r="AA72" i="1"/>
  <c r="AB72" i="1"/>
  <c r="AA73" i="1"/>
  <c r="AB73" i="1"/>
  <c r="AA74" i="1"/>
  <c r="AB74" i="1"/>
  <c r="AA75" i="1"/>
  <c r="AB75" i="1"/>
  <c r="AA76" i="1"/>
  <c r="AB76" i="1"/>
  <c r="AA77" i="1"/>
  <c r="AB77" i="1"/>
  <c r="AA78" i="1"/>
  <c r="AB78" i="1"/>
  <c r="AA79" i="1"/>
  <c r="AB79" i="1"/>
  <c r="AA80" i="1"/>
  <c r="AB80" i="1"/>
  <c r="AA81" i="1"/>
  <c r="AB81" i="1"/>
  <c r="AA82" i="1"/>
  <c r="AB82" i="1"/>
  <c r="AA83" i="1"/>
  <c r="AB83" i="1"/>
  <c r="AA84" i="1"/>
  <c r="AB84" i="1"/>
  <c r="AA85" i="1"/>
  <c r="AB85" i="1"/>
  <c r="AA86" i="1"/>
  <c r="AB86" i="1"/>
  <c r="AA87" i="1"/>
  <c r="AB87" i="1"/>
  <c r="AA88" i="1"/>
  <c r="AB88" i="1"/>
  <c r="AA89" i="1"/>
  <c r="AB89" i="1"/>
  <c r="AA90" i="1"/>
  <c r="AB90" i="1"/>
  <c r="AA91" i="1"/>
  <c r="AB91" i="1"/>
  <c r="AA92" i="1"/>
  <c r="AB92" i="1"/>
  <c r="AA93" i="1"/>
  <c r="AB93" i="1"/>
  <c r="AA94" i="1"/>
  <c r="AB94" i="1"/>
  <c r="AA95" i="1"/>
  <c r="AB95" i="1"/>
  <c r="AA96" i="1"/>
  <c r="AB96" i="1"/>
  <c r="AA97" i="1"/>
  <c r="AB97" i="1"/>
  <c r="AA98" i="1"/>
  <c r="AB98" i="1"/>
  <c r="AA99" i="1"/>
  <c r="AB99" i="1"/>
  <c r="AA100" i="1"/>
  <c r="AB100" i="1"/>
  <c r="AA101" i="1"/>
  <c r="AB101" i="1"/>
  <c r="AA102" i="1"/>
  <c r="AB102" i="1"/>
  <c r="AA103" i="1"/>
  <c r="AB103" i="1"/>
  <c r="AA104" i="1"/>
  <c r="AB104" i="1"/>
  <c r="AA105" i="1"/>
  <c r="AB105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7" i="1"/>
  <c r="L7" i="1"/>
  <c r="K7" i="1"/>
  <c r="M16" i="2"/>
  <c r="L11" i="5"/>
  <c r="D7" i="1"/>
  <c r="J17" i="2" l="1"/>
  <c r="R35" i="2"/>
  <c r="R34" i="2"/>
  <c r="R33" i="2"/>
  <c r="P35" i="2"/>
  <c r="P34" i="2"/>
  <c r="P33" i="2"/>
  <c r="O35" i="2"/>
  <c r="O34" i="2"/>
  <c r="O33" i="2"/>
  <c r="N35" i="2"/>
  <c r="N34" i="2"/>
  <c r="N33" i="2"/>
  <c r="L35" i="2"/>
  <c r="L34" i="2"/>
  <c r="L33" i="2"/>
  <c r="K35" i="2"/>
  <c r="K34" i="2"/>
  <c r="K33" i="2"/>
  <c r="L18" i="2"/>
  <c r="L17" i="2"/>
  <c r="L13" i="2"/>
  <c r="K13" i="2"/>
  <c r="C13" i="2"/>
  <c r="D13" i="2"/>
  <c r="L11" i="2"/>
  <c r="L10" i="2"/>
  <c r="J10" i="2"/>
  <c r="L9" i="2"/>
  <c r="F10" i="2"/>
  <c r="D10" i="2"/>
  <c r="K11" i="2"/>
  <c r="K10" i="2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F57" i="1"/>
  <c r="AF58" i="1"/>
  <c r="AF59" i="1"/>
  <c r="AF60" i="1"/>
  <c r="AF61" i="1"/>
  <c r="AF62" i="1"/>
  <c r="AF63" i="1"/>
  <c r="AF64" i="1"/>
  <c r="AF65" i="1"/>
  <c r="AF66" i="1"/>
  <c r="AF67" i="1"/>
  <c r="AF68" i="1"/>
  <c r="AF69" i="1"/>
  <c r="AF70" i="1"/>
  <c r="AF71" i="1"/>
  <c r="AF72" i="1"/>
  <c r="AF73" i="1"/>
  <c r="AF74" i="1"/>
  <c r="AF75" i="1"/>
  <c r="AF76" i="1"/>
  <c r="AF77" i="1"/>
  <c r="AF78" i="1"/>
  <c r="AF79" i="1"/>
  <c r="AF80" i="1"/>
  <c r="AF81" i="1"/>
  <c r="AF82" i="1"/>
  <c r="AF83" i="1"/>
  <c r="AF84" i="1"/>
  <c r="AF85" i="1"/>
  <c r="AF86" i="1"/>
  <c r="AF87" i="1"/>
  <c r="AF88" i="1"/>
  <c r="AF89" i="1"/>
  <c r="AF90" i="1"/>
  <c r="AF91" i="1"/>
  <c r="AF92" i="1"/>
  <c r="AF93" i="1"/>
  <c r="AF94" i="1"/>
  <c r="AF95" i="1"/>
  <c r="AF96" i="1"/>
  <c r="AF97" i="1"/>
  <c r="AF98" i="1"/>
  <c r="AF99" i="1"/>
  <c r="AF100" i="1"/>
  <c r="AF101" i="1"/>
  <c r="AF102" i="1"/>
  <c r="AF103" i="1"/>
  <c r="AF104" i="1"/>
  <c r="AF105" i="1"/>
  <c r="AF106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2" i="1"/>
  <c r="AE73" i="1"/>
  <c r="AE74" i="1"/>
  <c r="AE75" i="1"/>
  <c r="AE76" i="1"/>
  <c r="AE77" i="1"/>
  <c r="AE78" i="1"/>
  <c r="AE79" i="1"/>
  <c r="AE80" i="1"/>
  <c r="AE81" i="1"/>
  <c r="AE82" i="1"/>
  <c r="AE83" i="1"/>
  <c r="AE84" i="1"/>
  <c r="AE85" i="1"/>
  <c r="AE86" i="1"/>
  <c r="AE87" i="1"/>
  <c r="AE88" i="1"/>
  <c r="AE89" i="1"/>
  <c r="AE90" i="1"/>
  <c r="AE91" i="1"/>
  <c r="AE92" i="1"/>
  <c r="AE93" i="1"/>
  <c r="AE94" i="1"/>
  <c r="AE95" i="1"/>
  <c r="AE96" i="1"/>
  <c r="AE97" i="1"/>
  <c r="AE98" i="1"/>
  <c r="AE99" i="1"/>
  <c r="AE100" i="1"/>
  <c r="AE101" i="1"/>
  <c r="AE102" i="1"/>
  <c r="AE103" i="1"/>
  <c r="AE104" i="1"/>
  <c r="AE105" i="1"/>
  <c r="AE106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B106" i="1"/>
  <c r="AA106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G59" i="1"/>
  <c r="AG60" i="1"/>
  <c r="AG61" i="1"/>
  <c r="AG62" i="1"/>
  <c r="AG63" i="1"/>
  <c r="AG64" i="1"/>
  <c r="AG65" i="1"/>
  <c r="AG66" i="1"/>
  <c r="AG67" i="1"/>
  <c r="AG68" i="1"/>
  <c r="AG69" i="1"/>
  <c r="AG70" i="1"/>
  <c r="AG71" i="1"/>
  <c r="AG72" i="1"/>
  <c r="AG73" i="1"/>
  <c r="AG74" i="1"/>
  <c r="AG75" i="1"/>
  <c r="AG76" i="1"/>
  <c r="AG77" i="1"/>
  <c r="AG78" i="1"/>
  <c r="AG79" i="1"/>
  <c r="AG80" i="1"/>
  <c r="AG81" i="1"/>
  <c r="AG82" i="1"/>
  <c r="AG83" i="1"/>
  <c r="AG84" i="1"/>
  <c r="AG85" i="1"/>
  <c r="AG86" i="1"/>
  <c r="AG87" i="1"/>
  <c r="AG88" i="1"/>
  <c r="AG89" i="1"/>
  <c r="AG90" i="1"/>
  <c r="AG91" i="1"/>
  <c r="AG92" i="1"/>
  <c r="AG93" i="1"/>
  <c r="AG94" i="1"/>
  <c r="AG95" i="1"/>
  <c r="AG96" i="1"/>
  <c r="AG97" i="1"/>
  <c r="AG98" i="1"/>
  <c r="AG99" i="1"/>
  <c r="AG100" i="1"/>
  <c r="AG101" i="1"/>
  <c r="AG102" i="1"/>
  <c r="AG103" i="1"/>
  <c r="AG104" i="1"/>
  <c r="AG105" i="1"/>
  <c r="AG106" i="1"/>
  <c r="AF7" i="1"/>
  <c r="AD7" i="1"/>
  <c r="AC7" i="1"/>
  <c r="AA7" i="1"/>
  <c r="AB7" i="1"/>
  <c r="AE7" i="1"/>
  <c r="I7" i="1"/>
  <c r="U7" i="1"/>
  <c r="H17" i="2" l="1"/>
  <c r="H19" i="2" s="1"/>
  <c r="H13" i="2"/>
  <c r="G13" i="2"/>
  <c r="L19" i="2"/>
  <c r="J7" i="5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Q35" i="2"/>
  <c r="Q34" i="2"/>
  <c r="M34" i="2"/>
  <c r="P36" i="2"/>
  <c r="Q33" i="2"/>
  <c r="N36" i="2"/>
  <c r="L36" i="2"/>
  <c r="K36" i="2"/>
  <c r="R7" i="5"/>
  <c r="I13" i="2" s="1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H102" i="5"/>
  <c r="H103" i="5"/>
  <c r="H104" i="5"/>
  <c r="H105" i="5"/>
  <c r="H106" i="5"/>
  <c r="J7" i="1"/>
  <c r="H7" i="1"/>
  <c r="T7" i="1"/>
  <c r="H7" i="5"/>
  <c r="I7" i="5"/>
  <c r="J13" i="2" s="1"/>
  <c r="G7" i="5"/>
  <c r="I8" i="1"/>
  <c r="F13" i="2" s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P7" i="5" l="1"/>
  <c r="O7" i="5"/>
  <c r="J11" i="2"/>
  <c r="J9" i="2"/>
  <c r="Q7" i="1"/>
  <c r="D9" i="2"/>
  <c r="D11" i="2"/>
  <c r="D14" i="2"/>
  <c r="R36" i="2"/>
  <c r="O36" i="2"/>
  <c r="M33" i="2"/>
  <c r="Q7" i="5"/>
  <c r="Z8" i="1" l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7" i="1"/>
  <c r="G106" i="5"/>
  <c r="D106" i="5"/>
  <c r="G105" i="5"/>
  <c r="D105" i="5"/>
  <c r="G104" i="5"/>
  <c r="D104" i="5"/>
  <c r="G103" i="5"/>
  <c r="D103" i="5"/>
  <c r="G102" i="5"/>
  <c r="D102" i="5"/>
  <c r="G101" i="5"/>
  <c r="D101" i="5"/>
  <c r="G100" i="5"/>
  <c r="D100" i="5"/>
  <c r="G99" i="5"/>
  <c r="D99" i="5"/>
  <c r="G98" i="5"/>
  <c r="D98" i="5"/>
  <c r="G97" i="5"/>
  <c r="D97" i="5"/>
  <c r="G96" i="5"/>
  <c r="D96" i="5"/>
  <c r="G95" i="5"/>
  <c r="D95" i="5"/>
  <c r="G94" i="5"/>
  <c r="D94" i="5"/>
  <c r="G93" i="5"/>
  <c r="D93" i="5"/>
  <c r="G92" i="5"/>
  <c r="D92" i="5"/>
  <c r="G91" i="5"/>
  <c r="D91" i="5"/>
  <c r="G90" i="5"/>
  <c r="D90" i="5"/>
  <c r="G89" i="5"/>
  <c r="D89" i="5"/>
  <c r="G88" i="5"/>
  <c r="D88" i="5"/>
  <c r="G87" i="5"/>
  <c r="D87" i="5"/>
  <c r="G86" i="5"/>
  <c r="D86" i="5"/>
  <c r="G85" i="5"/>
  <c r="D85" i="5"/>
  <c r="G84" i="5"/>
  <c r="D84" i="5"/>
  <c r="G83" i="5"/>
  <c r="D83" i="5"/>
  <c r="G82" i="5"/>
  <c r="D82" i="5"/>
  <c r="G81" i="5"/>
  <c r="D81" i="5"/>
  <c r="G80" i="5"/>
  <c r="D80" i="5"/>
  <c r="G79" i="5"/>
  <c r="D79" i="5"/>
  <c r="G78" i="5"/>
  <c r="D78" i="5"/>
  <c r="G77" i="5"/>
  <c r="D77" i="5"/>
  <c r="G76" i="5"/>
  <c r="D76" i="5"/>
  <c r="G75" i="5"/>
  <c r="D75" i="5"/>
  <c r="G74" i="5"/>
  <c r="D74" i="5"/>
  <c r="G73" i="5"/>
  <c r="D73" i="5"/>
  <c r="G72" i="5"/>
  <c r="D72" i="5"/>
  <c r="G71" i="5"/>
  <c r="D71" i="5"/>
  <c r="G70" i="5"/>
  <c r="D70" i="5"/>
  <c r="G69" i="5"/>
  <c r="D69" i="5"/>
  <c r="G68" i="5"/>
  <c r="D68" i="5"/>
  <c r="G67" i="5"/>
  <c r="D67" i="5"/>
  <c r="G66" i="5"/>
  <c r="D66" i="5"/>
  <c r="G65" i="5"/>
  <c r="D65" i="5"/>
  <c r="G64" i="5"/>
  <c r="D64" i="5"/>
  <c r="G63" i="5"/>
  <c r="D63" i="5"/>
  <c r="G62" i="5"/>
  <c r="D62" i="5"/>
  <c r="G61" i="5"/>
  <c r="D61" i="5"/>
  <c r="G60" i="5"/>
  <c r="D60" i="5"/>
  <c r="G59" i="5"/>
  <c r="D59" i="5"/>
  <c r="G58" i="5"/>
  <c r="D58" i="5"/>
  <c r="G57" i="5"/>
  <c r="D57" i="5"/>
  <c r="G56" i="5"/>
  <c r="D56" i="5"/>
  <c r="G55" i="5"/>
  <c r="D55" i="5"/>
  <c r="G54" i="5"/>
  <c r="D54" i="5"/>
  <c r="G53" i="5"/>
  <c r="D53" i="5"/>
  <c r="G52" i="5"/>
  <c r="D52" i="5"/>
  <c r="G51" i="5"/>
  <c r="D51" i="5"/>
  <c r="G50" i="5"/>
  <c r="D50" i="5"/>
  <c r="G49" i="5"/>
  <c r="D49" i="5"/>
  <c r="G48" i="5"/>
  <c r="D48" i="5"/>
  <c r="G47" i="5"/>
  <c r="D47" i="5"/>
  <c r="G46" i="5"/>
  <c r="D46" i="5"/>
  <c r="G45" i="5"/>
  <c r="D45" i="5"/>
  <c r="G44" i="5"/>
  <c r="D44" i="5"/>
  <c r="G43" i="5"/>
  <c r="D43" i="5"/>
  <c r="G42" i="5"/>
  <c r="D42" i="5"/>
  <c r="G41" i="5"/>
  <c r="D41" i="5"/>
  <c r="G40" i="5"/>
  <c r="D40" i="5"/>
  <c r="G39" i="5"/>
  <c r="D39" i="5"/>
  <c r="G38" i="5"/>
  <c r="D38" i="5"/>
  <c r="G37" i="5"/>
  <c r="D37" i="5"/>
  <c r="G36" i="5"/>
  <c r="D36" i="5"/>
  <c r="G35" i="5"/>
  <c r="D35" i="5"/>
  <c r="G34" i="5"/>
  <c r="D34" i="5"/>
  <c r="G33" i="5"/>
  <c r="D33" i="5"/>
  <c r="G32" i="5"/>
  <c r="D32" i="5"/>
  <c r="G31" i="5"/>
  <c r="D31" i="5"/>
  <c r="G30" i="5"/>
  <c r="D30" i="5"/>
  <c r="G29" i="5"/>
  <c r="D29" i="5"/>
  <c r="G28" i="5"/>
  <c r="D28" i="5"/>
  <c r="G27" i="5"/>
  <c r="D27" i="5"/>
  <c r="G26" i="5"/>
  <c r="D26" i="5"/>
  <c r="G25" i="5"/>
  <c r="D25" i="5"/>
  <c r="G24" i="5"/>
  <c r="D24" i="5"/>
  <c r="G23" i="5"/>
  <c r="D23" i="5"/>
  <c r="G22" i="5"/>
  <c r="D22" i="5"/>
  <c r="G21" i="5"/>
  <c r="D21" i="5"/>
  <c r="G20" i="5"/>
  <c r="D20" i="5"/>
  <c r="G19" i="5"/>
  <c r="D19" i="5"/>
  <c r="G18" i="5"/>
  <c r="D18" i="5"/>
  <c r="G17" i="5"/>
  <c r="D17" i="5"/>
  <c r="G16" i="5"/>
  <c r="D16" i="5"/>
  <c r="G15" i="5"/>
  <c r="D15" i="5"/>
  <c r="G14" i="5"/>
  <c r="D14" i="5"/>
  <c r="G13" i="5"/>
  <c r="D13" i="5"/>
  <c r="G12" i="5"/>
  <c r="D12" i="5"/>
  <c r="G11" i="5"/>
  <c r="D11" i="5"/>
  <c r="G10" i="5"/>
  <c r="D10" i="5"/>
  <c r="G9" i="5"/>
  <c r="D9" i="5"/>
  <c r="G8" i="5"/>
  <c r="E2" i="5"/>
  <c r="A7" i="5"/>
  <c r="N7" i="5"/>
  <c r="L7" i="5"/>
  <c r="J18" i="2" s="1"/>
  <c r="J19" i="2" s="1"/>
  <c r="I10" i="2"/>
  <c r="A8" i="5"/>
  <c r="L8" i="5"/>
  <c r="N8" i="5"/>
  <c r="K9" i="2" s="1"/>
  <c r="K19" i="2" s="1"/>
  <c r="A9" i="5"/>
  <c r="A10" i="5" s="1"/>
  <c r="L9" i="5"/>
  <c r="N9" i="5"/>
  <c r="S9" i="5"/>
  <c r="L10" i="5"/>
  <c r="N10" i="5"/>
  <c r="S10" i="5" s="1"/>
  <c r="A11" i="5"/>
  <c r="A12" i="5" s="1"/>
  <c r="N11" i="5"/>
  <c r="S11" i="5"/>
  <c r="L12" i="5"/>
  <c r="A13" i="5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L13" i="5"/>
  <c r="N13" i="5"/>
  <c r="S13" i="5"/>
  <c r="L14" i="5"/>
  <c r="N14" i="5"/>
  <c r="S14" i="5" s="1"/>
  <c r="N15" i="5"/>
  <c r="L15" i="5"/>
  <c r="S15" i="5"/>
  <c r="L16" i="5"/>
  <c r="L17" i="5"/>
  <c r="N17" i="5"/>
  <c r="S17" i="5"/>
  <c r="L18" i="5"/>
  <c r="N19" i="5"/>
  <c r="S19" i="5" s="1"/>
  <c r="L19" i="5"/>
  <c r="L20" i="5"/>
  <c r="N20" i="5"/>
  <c r="S20" i="5" s="1"/>
  <c r="L21" i="5"/>
  <c r="N21" i="5"/>
  <c r="S21" i="5"/>
  <c r="L22" i="5"/>
  <c r="N23" i="5"/>
  <c r="L23" i="5"/>
  <c r="S23" i="5"/>
  <c r="L24" i="5"/>
  <c r="N24" i="5"/>
  <c r="S24" i="5" s="1"/>
  <c r="L25" i="5"/>
  <c r="N25" i="5"/>
  <c r="S25" i="5"/>
  <c r="L26" i="5"/>
  <c r="N26" i="5"/>
  <c r="S26" i="5" s="1"/>
  <c r="N27" i="5"/>
  <c r="L27" i="5"/>
  <c r="S27" i="5"/>
  <c r="L28" i="5"/>
  <c r="L29" i="5"/>
  <c r="N29" i="5"/>
  <c r="S29" i="5"/>
  <c r="L30" i="5"/>
  <c r="N30" i="5"/>
  <c r="S30" i="5" s="1"/>
  <c r="N31" i="5"/>
  <c r="L31" i="5"/>
  <c r="S31" i="5"/>
  <c r="L32" i="5"/>
  <c r="L33" i="5"/>
  <c r="N33" i="5"/>
  <c r="S33" i="5"/>
  <c r="L34" i="5"/>
  <c r="N35" i="5"/>
  <c r="S35" i="5" s="1"/>
  <c r="L35" i="5"/>
  <c r="L36" i="5"/>
  <c r="N36" i="5"/>
  <c r="S36" i="5" s="1"/>
  <c r="L37" i="5"/>
  <c r="N37" i="5"/>
  <c r="S37" i="5"/>
  <c r="L38" i="5"/>
  <c r="N39" i="5"/>
  <c r="L39" i="5"/>
  <c r="S39" i="5"/>
  <c r="L40" i="5"/>
  <c r="N40" i="5"/>
  <c r="S40" i="5" s="1"/>
  <c r="L41" i="5"/>
  <c r="N41" i="5"/>
  <c r="S41" i="5"/>
  <c r="L42" i="5"/>
  <c r="N42" i="5"/>
  <c r="S42" i="5" s="1"/>
  <c r="N43" i="5"/>
  <c r="L43" i="5"/>
  <c r="S43" i="5"/>
  <c r="L44" i="5"/>
  <c r="L45" i="5"/>
  <c r="N45" i="5"/>
  <c r="S45" i="5"/>
  <c r="L46" i="5"/>
  <c r="N46" i="5"/>
  <c r="S46" i="5" s="1"/>
  <c r="N47" i="5"/>
  <c r="L47" i="5"/>
  <c r="S47" i="5"/>
  <c r="L48" i="5"/>
  <c r="L49" i="5"/>
  <c r="N49" i="5"/>
  <c r="S49" i="5"/>
  <c r="L50" i="5"/>
  <c r="N51" i="5"/>
  <c r="S51" i="5" s="1"/>
  <c r="L51" i="5"/>
  <c r="L52" i="5"/>
  <c r="N52" i="5"/>
  <c r="S52" i="5" s="1"/>
  <c r="L53" i="5"/>
  <c r="N53" i="5"/>
  <c r="S53" i="5"/>
  <c r="L54" i="5"/>
  <c r="N55" i="5"/>
  <c r="L55" i="5"/>
  <c r="S55" i="5"/>
  <c r="L56" i="5"/>
  <c r="N56" i="5"/>
  <c r="S56" i="5" s="1"/>
  <c r="L57" i="5"/>
  <c r="N57" i="5"/>
  <c r="S57" i="5"/>
  <c r="L58" i="5"/>
  <c r="N58" i="5"/>
  <c r="S58" i="5" s="1"/>
  <c r="N59" i="5"/>
  <c r="L59" i="5"/>
  <c r="S59" i="5"/>
  <c r="L60" i="5"/>
  <c r="L61" i="5"/>
  <c r="N61" i="5"/>
  <c r="S61" i="5"/>
  <c r="L62" i="5"/>
  <c r="N62" i="5"/>
  <c r="S62" i="5" s="1"/>
  <c r="N63" i="5"/>
  <c r="L63" i="5"/>
  <c r="S63" i="5"/>
  <c r="L64" i="5"/>
  <c r="L65" i="5"/>
  <c r="N65" i="5"/>
  <c r="S65" i="5"/>
  <c r="L66" i="5"/>
  <c r="N67" i="5"/>
  <c r="L67" i="5"/>
  <c r="S67" i="5"/>
  <c r="L68" i="5"/>
  <c r="N68" i="5"/>
  <c r="S68" i="5" s="1"/>
  <c r="L69" i="5"/>
  <c r="N69" i="5"/>
  <c r="S69" i="5"/>
  <c r="L70" i="5"/>
  <c r="N71" i="5"/>
  <c r="L71" i="5"/>
  <c r="S71" i="5"/>
  <c r="L72" i="5"/>
  <c r="N72" i="5"/>
  <c r="S72" i="5" s="1"/>
  <c r="L73" i="5"/>
  <c r="N73" i="5"/>
  <c r="S73" i="5"/>
  <c r="L74" i="5"/>
  <c r="N74" i="5"/>
  <c r="S74" i="5" s="1"/>
  <c r="N75" i="5"/>
  <c r="L75" i="5"/>
  <c r="S75" i="5"/>
  <c r="L76" i="5"/>
  <c r="L77" i="5"/>
  <c r="N77" i="5"/>
  <c r="S77" i="5"/>
  <c r="L78" i="5"/>
  <c r="N78" i="5"/>
  <c r="S78" i="5" s="1"/>
  <c r="N79" i="5"/>
  <c r="L79" i="5"/>
  <c r="S79" i="5"/>
  <c r="L80" i="5"/>
  <c r="L81" i="5"/>
  <c r="N81" i="5"/>
  <c r="S81" i="5"/>
  <c r="N82" i="5"/>
  <c r="S82" i="5" s="1"/>
  <c r="L82" i="5"/>
  <c r="N83" i="5"/>
  <c r="L83" i="5"/>
  <c r="S83" i="5"/>
  <c r="L84" i="5"/>
  <c r="N84" i="5"/>
  <c r="S84" i="5" s="1"/>
  <c r="L85" i="5"/>
  <c r="N85" i="5"/>
  <c r="S85" i="5" s="1"/>
  <c r="N86" i="5"/>
  <c r="S86" i="5" s="1"/>
  <c r="L86" i="5"/>
  <c r="N87" i="5"/>
  <c r="L87" i="5"/>
  <c r="S87" i="5"/>
  <c r="L88" i="5"/>
  <c r="N88" i="5"/>
  <c r="S88" i="5" s="1"/>
  <c r="L89" i="5"/>
  <c r="N89" i="5"/>
  <c r="S89" i="5" s="1"/>
  <c r="N90" i="5"/>
  <c r="S90" i="5" s="1"/>
  <c r="L90" i="5"/>
  <c r="N91" i="5"/>
  <c r="L91" i="5"/>
  <c r="S91" i="5"/>
  <c r="L92" i="5"/>
  <c r="N92" i="5"/>
  <c r="S92" i="5" s="1"/>
  <c r="L93" i="5"/>
  <c r="N93" i="5"/>
  <c r="S93" i="5" s="1"/>
  <c r="N94" i="5"/>
  <c r="S94" i="5" s="1"/>
  <c r="L94" i="5"/>
  <c r="L95" i="5"/>
  <c r="N95" i="5"/>
  <c r="S95" i="5" s="1"/>
  <c r="N96" i="5"/>
  <c r="S96" i="5" s="1"/>
  <c r="L96" i="5"/>
  <c r="N97" i="5"/>
  <c r="S97" i="5" s="1"/>
  <c r="L97" i="5"/>
  <c r="L98" i="5"/>
  <c r="N98" i="5"/>
  <c r="S98" i="5" s="1"/>
  <c r="L99" i="5"/>
  <c r="N99" i="5"/>
  <c r="S99" i="5" s="1"/>
  <c r="N100" i="5"/>
  <c r="S100" i="5" s="1"/>
  <c r="L100" i="5"/>
  <c r="N101" i="5"/>
  <c r="S101" i="5" s="1"/>
  <c r="L101" i="5"/>
  <c r="L102" i="5"/>
  <c r="N102" i="5"/>
  <c r="S102" i="5" s="1"/>
  <c r="L103" i="5"/>
  <c r="N103" i="5"/>
  <c r="S103" i="5" s="1"/>
  <c r="N104" i="5"/>
  <c r="S104" i="5" s="1"/>
  <c r="L104" i="5"/>
  <c r="N105" i="5"/>
  <c r="S105" i="5" s="1"/>
  <c r="L105" i="5"/>
  <c r="L106" i="5"/>
  <c r="N106" i="5"/>
  <c r="S106" i="5" s="1"/>
  <c r="E2" i="2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V7" i="1"/>
  <c r="C14" i="2" s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O12" i="2" l="1"/>
  <c r="O13" i="2"/>
  <c r="E13" i="2"/>
  <c r="O14" i="2"/>
  <c r="E14" i="2"/>
  <c r="Y25" i="2"/>
  <c r="U25" i="2"/>
  <c r="Y26" i="2"/>
  <c r="U26" i="2"/>
  <c r="AG8" i="1"/>
  <c r="N80" i="5"/>
  <c r="S80" i="5" s="1"/>
  <c r="N70" i="5"/>
  <c r="S70" i="5" s="1"/>
  <c r="N64" i="5"/>
  <c r="S64" i="5" s="1"/>
  <c r="N54" i="5"/>
  <c r="S54" i="5" s="1"/>
  <c r="N48" i="5"/>
  <c r="S48" i="5" s="1"/>
  <c r="N38" i="5"/>
  <c r="S38" i="5" s="1"/>
  <c r="N32" i="5"/>
  <c r="S32" i="5" s="1"/>
  <c r="N22" i="5"/>
  <c r="S22" i="5" s="1"/>
  <c r="N16" i="5"/>
  <c r="S16" i="5" s="1"/>
  <c r="I9" i="2"/>
  <c r="N76" i="5"/>
  <c r="S76" i="5" s="1"/>
  <c r="N66" i="5"/>
  <c r="S66" i="5" s="1"/>
  <c r="N60" i="5"/>
  <c r="S60" i="5" s="1"/>
  <c r="N50" i="5"/>
  <c r="S50" i="5" s="1"/>
  <c r="N44" i="5"/>
  <c r="S44" i="5" s="1"/>
  <c r="N34" i="5"/>
  <c r="S34" i="5" s="1"/>
  <c r="N28" i="5"/>
  <c r="S28" i="5" s="1"/>
  <c r="N18" i="5"/>
  <c r="S18" i="5" s="1"/>
  <c r="N12" i="5"/>
  <c r="S12" i="5" s="1"/>
  <c r="S8" i="5"/>
  <c r="X106" i="1"/>
  <c r="S106" i="1"/>
  <c r="Q106" i="1"/>
  <c r="T27" i="2" l="1"/>
  <c r="Y24" i="2"/>
  <c r="W27" i="2"/>
  <c r="V27" i="2"/>
  <c r="X27" i="2"/>
  <c r="Z27" i="2"/>
  <c r="U24" i="2"/>
  <c r="S27" i="2"/>
  <c r="H10" i="2"/>
  <c r="H9" i="2"/>
  <c r="AG7" i="1"/>
  <c r="G11" i="2"/>
  <c r="G9" i="2"/>
  <c r="H11" i="2"/>
  <c r="S7" i="5"/>
  <c r="I11" i="2"/>
  <c r="I19" i="2" s="1"/>
  <c r="G10" i="2"/>
  <c r="AG9" i="1"/>
  <c r="J8" i="1"/>
  <c r="F14" i="2" s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W7" i="1"/>
  <c r="X17" i="1"/>
  <c r="X21" i="1"/>
  <c r="X25" i="1"/>
  <c r="X29" i="1"/>
  <c r="X33" i="1"/>
  <c r="X37" i="1"/>
  <c r="X41" i="1"/>
  <c r="X45" i="1"/>
  <c r="X49" i="1"/>
  <c r="X53" i="1"/>
  <c r="X57" i="1"/>
  <c r="X61" i="1"/>
  <c r="X65" i="1"/>
  <c r="X69" i="1"/>
  <c r="X73" i="1"/>
  <c r="X77" i="1"/>
  <c r="X81" i="1"/>
  <c r="X85" i="1"/>
  <c r="X89" i="1"/>
  <c r="X93" i="1"/>
  <c r="X97" i="1"/>
  <c r="X101" i="1"/>
  <c r="X105" i="1"/>
  <c r="X8" i="1"/>
  <c r="X9" i="1"/>
  <c r="X10" i="1"/>
  <c r="X11" i="1"/>
  <c r="X12" i="1"/>
  <c r="X13" i="1"/>
  <c r="X14" i="1"/>
  <c r="X15" i="1"/>
  <c r="X16" i="1"/>
  <c r="X18" i="1"/>
  <c r="X19" i="1"/>
  <c r="X20" i="1"/>
  <c r="X22" i="1"/>
  <c r="X23" i="1"/>
  <c r="X24" i="1"/>
  <c r="X26" i="1"/>
  <c r="X27" i="1"/>
  <c r="X28" i="1"/>
  <c r="X30" i="1"/>
  <c r="X31" i="1"/>
  <c r="X32" i="1"/>
  <c r="X34" i="1"/>
  <c r="X35" i="1"/>
  <c r="X36" i="1"/>
  <c r="X38" i="1"/>
  <c r="X39" i="1"/>
  <c r="X40" i="1"/>
  <c r="X42" i="1"/>
  <c r="X43" i="1"/>
  <c r="X44" i="1"/>
  <c r="X46" i="1"/>
  <c r="X47" i="1"/>
  <c r="X48" i="1"/>
  <c r="X50" i="1"/>
  <c r="X51" i="1"/>
  <c r="X52" i="1"/>
  <c r="X54" i="1"/>
  <c r="X55" i="1"/>
  <c r="X56" i="1"/>
  <c r="X58" i="1"/>
  <c r="X59" i="1"/>
  <c r="X60" i="1"/>
  <c r="X62" i="1"/>
  <c r="X63" i="1"/>
  <c r="X64" i="1"/>
  <c r="X66" i="1"/>
  <c r="X67" i="1"/>
  <c r="X68" i="1"/>
  <c r="X70" i="1"/>
  <c r="X71" i="1"/>
  <c r="X72" i="1"/>
  <c r="X74" i="1"/>
  <c r="X75" i="1"/>
  <c r="X76" i="1"/>
  <c r="X78" i="1"/>
  <c r="X79" i="1"/>
  <c r="X80" i="1"/>
  <c r="X82" i="1"/>
  <c r="X83" i="1"/>
  <c r="X84" i="1"/>
  <c r="X86" i="1"/>
  <c r="X87" i="1"/>
  <c r="X88" i="1"/>
  <c r="X90" i="1"/>
  <c r="X91" i="1"/>
  <c r="X92" i="1"/>
  <c r="X94" i="1"/>
  <c r="X95" i="1"/>
  <c r="X96" i="1"/>
  <c r="X98" i="1"/>
  <c r="X99" i="1"/>
  <c r="X100" i="1"/>
  <c r="X102" i="1"/>
  <c r="X103" i="1"/>
  <c r="X104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F11" i="2" l="1"/>
  <c r="F9" i="2"/>
  <c r="X7" i="1"/>
  <c r="D15" i="2"/>
  <c r="G19" i="2"/>
  <c r="H8" i="1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5" i="4"/>
  <c r="F6" i="4"/>
  <c r="B6" i="4" s="1"/>
  <c r="F7" i="4"/>
  <c r="B7" i="4" s="1"/>
  <c r="D8" i="5" s="1"/>
  <c r="F8" i="4"/>
  <c r="B8" i="4" s="1"/>
  <c r="F9" i="4"/>
  <c r="B9" i="4" s="1"/>
  <c r="F10" i="4"/>
  <c r="B10" i="4" s="1"/>
  <c r="F11" i="4"/>
  <c r="B11" i="4" s="1"/>
  <c r="F12" i="4"/>
  <c r="B12" i="4" s="1"/>
  <c r="F13" i="4"/>
  <c r="B13" i="4" s="1"/>
  <c r="F14" i="4"/>
  <c r="B14" i="4" s="1"/>
  <c r="F15" i="4"/>
  <c r="B15" i="4" s="1"/>
  <c r="F16" i="4"/>
  <c r="B16" i="4" s="1"/>
  <c r="F17" i="4"/>
  <c r="B17" i="4" s="1"/>
  <c r="F18" i="4"/>
  <c r="B18" i="4" s="1"/>
  <c r="F19" i="4"/>
  <c r="B19" i="4" s="1"/>
  <c r="F20" i="4"/>
  <c r="B20" i="4" s="1"/>
  <c r="F21" i="4"/>
  <c r="B21" i="4" s="1"/>
  <c r="F22" i="4"/>
  <c r="B22" i="4" s="1"/>
  <c r="F23" i="4"/>
  <c r="B23" i="4" s="1"/>
  <c r="F24" i="4"/>
  <c r="B24" i="4" s="1"/>
  <c r="F25" i="4"/>
  <c r="B25" i="4" s="1"/>
  <c r="F26" i="4"/>
  <c r="B26" i="4" s="1"/>
  <c r="F27" i="4"/>
  <c r="B27" i="4" s="1"/>
  <c r="F28" i="4"/>
  <c r="B28" i="4" s="1"/>
  <c r="F29" i="4"/>
  <c r="B29" i="4" s="1"/>
  <c r="F30" i="4"/>
  <c r="B30" i="4" s="1"/>
  <c r="F31" i="4"/>
  <c r="B31" i="4" s="1"/>
  <c r="F32" i="4"/>
  <c r="B32" i="4" s="1"/>
  <c r="F33" i="4"/>
  <c r="B33" i="4" s="1"/>
  <c r="F34" i="4"/>
  <c r="B34" i="4" s="1"/>
  <c r="F35" i="4"/>
  <c r="B35" i="4" s="1"/>
  <c r="F36" i="4"/>
  <c r="B36" i="4" s="1"/>
  <c r="F37" i="4"/>
  <c r="B37" i="4" s="1"/>
  <c r="F5" i="4"/>
  <c r="B5" i="4" s="1"/>
  <c r="D7" i="5" s="1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C15" i="2" l="1"/>
  <c r="O15" i="2"/>
  <c r="R24" i="2"/>
  <c r="N26" i="2"/>
  <c r="R26" i="2"/>
  <c r="N24" i="2"/>
  <c r="H35" i="2"/>
  <c r="F35" i="2"/>
  <c r="D34" i="2"/>
  <c r="J33" i="2"/>
  <c r="G33" i="2"/>
  <c r="D33" i="2"/>
  <c r="H34" i="2"/>
  <c r="J35" i="2"/>
  <c r="G35" i="2"/>
  <c r="I35" i="2" s="1"/>
  <c r="C35" i="2"/>
  <c r="E35" i="2" s="1"/>
  <c r="J34" i="2"/>
  <c r="G34" i="2"/>
  <c r="I34" i="2" s="1"/>
  <c r="D35" i="2"/>
  <c r="C34" i="2"/>
  <c r="H33" i="2"/>
  <c r="F33" i="2"/>
  <c r="C33" i="2"/>
  <c r="F34" i="2"/>
  <c r="O7" i="1"/>
  <c r="F17" i="2"/>
  <c r="D17" i="2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N16" i="2" l="1"/>
  <c r="O16" i="2" s="1"/>
  <c r="E34" i="2"/>
  <c r="O17" i="2"/>
  <c r="D36" i="2"/>
  <c r="E33" i="2"/>
  <c r="C36" i="2"/>
  <c r="F36" i="2"/>
  <c r="J36" i="2"/>
  <c r="G36" i="2"/>
  <c r="I33" i="2"/>
  <c r="H36" i="2"/>
  <c r="D18" i="2"/>
  <c r="F18" i="2"/>
  <c r="F19" i="2" s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N19" i="2" l="1"/>
  <c r="C24" i="2"/>
  <c r="C25" i="2"/>
  <c r="D24" i="2"/>
  <c r="F24" i="2"/>
  <c r="D26" i="2"/>
  <c r="J25" i="2"/>
  <c r="D25" i="2"/>
  <c r="J24" i="2"/>
  <c r="F25" i="2"/>
  <c r="D19" i="2"/>
  <c r="O18" i="2"/>
  <c r="M19" i="2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M12" i="2" l="1"/>
  <c r="P24" i="2"/>
  <c r="L24" i="2"/>
  <c r="O26" i="2"/>
  <c r="Q26" i="2" s="1"/>
  <c r="O24" i="2"/>
  <c r="K25" i="2"/>
  <c r="O25" i="2"/>
  <c r="Q25" i="2" s="1"/>
  <c r="K26" i="2"/>
  <c r="K24" i="2"/>
  <c r="G24" i="2"/>
  <c r="G25" i="2"/>
  <c r="C26" i="2"/>
  <c r="G26" i="2"/>
  <c r="K27" i="2" l="1"/>
  <c r="O27" i="2"/>
  <c r="M24" i="2"/>
  <c r="Q24" i="2"/>
  <c r="G27" i="2"/>
  <c r="I24" i="2"/>
  <c r="C27" i="2"/>
  <c r="G8" i="1"/>
  <c r="G9" i="1"/>
  <c r="G10" i="1"/>
  <c r="Q10" i="1"/>
  <c r="G11" i="1"/>
  <c r="Q11" i="1"/>
  <c r="G12" i="1"/>
  <c r="Q12" i="1"/>
  <c r="G13" i="1"/>
  <c r="Q13" i="1"/>
  <c r="G14" i="1"/>
  <c r="Q14" i="1"/>
  <c r="G15" i="1"/>
  <c r="Q15" i="1"/>
  <c r="G16" i="1"/>
  <c r="Q16" i="1"/>
  <c r="G17" i="1"/>
  <c r="Q17" i="1"/>
  <c r="G18" i="1"/>
  <c r="Q18" i="1"/>
  <c r="G19" i="1"/>
  <c r="Q19" i="1"/>
  <c r="G20" i="1"/>
  <c r="Q20" i="1"/>
  <c r="G21" i="1"/>
  <c r="Q21" i="1"/>
  <c r="G22" i="1"/>
  <c r="Q22" i="1"/>
  <c r="G23" i="1"/>
  <c r="Q23" i="1"/>
  <c r="G24" i="1"/>
  <c r="Q24" i="1"/>
  <c r="G25" i="1"/>
  <c r="Q25" i="1"/>
  <c r="G26" i="1"/>
  <c r="Q26" i="1"/>
  <c r="G27" i="1"/>
  <c r="Q27" i="1"/>
  <c r="G28" i="1"/>
  <c r="Q28" i="1"/>
  <c r="G29" i="1"/>
  <c r="Q29" i="1"/>
  <c r="G30" i="1"/>
  <c r="Q30" i="1"/>
  <c r="G31" i="1"/>
  <c r="Q31" i="1"/>
  <c r="G32" i="1"/>
  <c r="Q32" i="1"/>
  <c r="G33" i="1"/>
  <c r="Q33" i="1"/>
  <c r="G34" i="1"/>
  <c r="Q34" i="1"/>
  <c r="G35" i="1"/>
  <c r="Q35" i="1"/>
  <c r="G36" i="1"/>
  <c r="Q36" i="1"/>
  <c r="G37" i="1"/>
  <c r="Q37" i="1"/>
  <c r="G38" i="1"/>
  <c r="Q38" i="1"/>
  <c r="G39" i="1"/>
  <c r="Q39" i="1"/>
  <c r="G40" i="1"/>
  <c r="Q40" i="1"/>
  <c r="G41" i="1"/>
  <c r="Q41" i="1"/>
  <c r="G42" i="1"/>
  <c r="Q42" i="1"/>
  <c r="G43" i="1"/>
  <c r="Q43" i="1"/>
  <c r="G44" i="1"/>
  <c r="Q44" i="1"/>
  <c r="G45" i="1"/>
  <c r="Q45" i="1"/>
  <c r="G46" i="1"/>
  <c r="Q46" i="1"/>
  <c r="G47" i="1"/>
  <c r="Q47" i="1"/>
  <c r="G48" i="1"/>
  <c r="Q48" i="1"/>
  <c r="G49" i="1"/>
  <c r="Q49" i="1"/>
  <c r="G50" i="1"/>
  <c r="Q50" i="1"/>
  <c r="G51" i="1"/>
  <c r="Q51" i="1"/>
  <c r="G52" i="1"/>
  <c r="Q52" i="1"/>
  <c r="G53" i="1"/>
  <c r="Q53" i="1"/>
  <c r="G54" i="1"/>
  <c r="Q54" i="1"/>
  <c r="G55" i="1"/>
  <c r="Q55" i="1"/>
  <c r="G56" i="1"/>
  <c r="Q56" i="1"/>
  <c r="G57" i="1"/>
  <c r="Q57" i="1"/>
  <c r="G58" i="1"/>
  <c r="Q58" i="1"/>
  <c r="G59" i="1"/>
  <c r="Q59" i="1"/>
  <c r="G60" i="1"/>
  <c r="Q60" i="1"/>
  <c r="G61" i="1"/>
  <c r="Q61" i="1"/>
  <c r="G62" i="1"/>
  <c r="Q62" i="1"/>
  <c r="G63" i="1"/>
  <c r="Q63" i="1"/>
  <c r="G64" i="1"/>
  <c r="Q64" i="1"/>
  <c r="G65" i="1"/>
  <c r="Q65" i="1"/>
  <c r="G66" i="1"/>
  <c r="Q66" i="1"/>
  <c r="G67" i="1"/>
  <c r="Q67" i="1"/>
  <c r="G68" i="1"/>
  <c r="Q68" i="1"/>
  <c r="G69" i="1"/>
  <c r="Q69" i="1"/>
  <c r="G70" i="1"/>
  <c r="Q70" i="1"/>
  <c r="G71" i="1"/>
  <c r="Q71" i="1"/>
  <c r="G72" i="1"/>
  <c r="Q72" i="1"/>
  <c r="G73" i="1"/>
  <c r="Q73" i="1"/>
  <c r="G74" i="1"/>
  <c r="Q74" i="1"/>
  <c r="G75" i="1"/>
  <c r="Q75" i="1"/>
  <c r="G76" i="1"/>
  <c r="Q76" i="1"/>
  <c r="G77" i="1"/>
  <c r="Q77" i="1"/>
  <c r="G78" i="1"/>
  <c r="Q78" i="1"/>
  <c r="G79" i="1"/>
  <c r="Q79" i="1"/>
  <c r="G80" i="1"/>
  <c r="Q80" i="1"/>
  <c r="G81" i="1"/>
  <c r="Q81" i="1"/>
  <c r="G82" i="1"/>
  <c r="Q82" i="1"/>
  <c r="G83" i="1"/>
  <c r="Q83" i="1"/>
  <c r="G84" i="1"/>
  <c r="Q84" i="1"/>
  <c r="G85" i="1"/>
  <c r="Q85" i="1"/>
  <c r="G86" i="1"/>
  <c r="Q86" i="1"/>
  <c r="G87" i="1"/>
  <c r="Q87" i="1"/>
  <c r="G88" i="1"/>
  <c r="Q88" i="1"/>
  <c r="G89" i="1"/>
  <c r="Q89" i="1"/>
  <c r="G90" i="1"/>
  <c r="Q90" i="1"/>
  <c r="G91" i="1"/>
  <c r="Q91" i="1"/>
  <c r="G92" i="1"/>
  <c r="Q92" i="1"/>
  <c r="G93" i="1"/>
  <c r="Q93" i="1"/>
  <c r="G94" i="1"/>
  <c r="Q94" i="1"/>
  <c r="G95" i="1"/>
  <c r="Q95" i="1"/>
  <c r="G96" i="1"/>
  <c r="Q96" i="1"/>
  <c r="G97" i="1"/>
  <c r="Q97" i="1"/>
  <c r="G98" i="1"/>
  <c r="Q98" i="1"/>
  <c r="G99" i="1"/>
  <c r="Q99" i="1"/>
  <c r="G100" i="1"/>
  <c r="Q100" i="1"/>
  <c r="G101" i="1"/>
  <c r="Q101" i="1"/>
  <c r="G102" i="1"/>
  <c r="Q102" i="1"/>
  <c r="G103" i="1"/>
  <c r="Q103" i="1"/>
  <c r="G104" i="1"/>
  <c r="Q104" i="1"/>
  <c r="G105" i="1"/>
  <c r="Q105" i="1"/>
  <c r="G106" i="1"/>
  <c r="S22" i="1" l="1"/>
  <c r="S21" i="1"/>
  <c r="S20" i="1"/>
  <c r="S19" i="1"/>
  <c r="S18" i="1"/>
  <c r="S17" i="1"/>
  <c r="S16" i="1"/>
  <c r="S15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Q9" i="1"/>
  <c r="Q8" i="1"/>
  <c r="E9" i="2" s="1"/>
  <c r="S11" i="1"/>
  <c r="J26" i="2"/>
  <c r="J27" i="2" s="1"/>
  <c r="H24" i="2"/>
  <c r="E24" i="2"/>
  <c r="S8" i="1"/>
  <c r="S9" i="1"/>
  <c r="S12" i="1"/>
  <c r="S14" i="1"/>
  <c r="S13" i="1"/>
  <c r="S10" i="1"/>
  <c r="F26" i="2" l="1"/>
  <c r="O9" i="2"/>
  <c r="C9" i="2"/>
  <c r="Y9" i="1"/>
  <c r="Y8" i="1"/>
  <c r="L26" i="2"/>
  <c r="M26" i="2" s="1"/>
  <c r="P26" i="2"/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G7" i="1" l="1"/>
  <c r="S7" i="1" l="1"/>
  <c r="E10" i="2" s="1"/>
  <c r="O10" i="2"/>
  <c r="P25" i="2"/>
  <c r="P27" i="2" s="1"/>
  <c r="L25" i="2"/>
  <c r="L27" i="2" s="1"/>
  <c r="R25" i="2" l="1"/>
  <c r="R27" i="2" s="1"/>
  <c r="C11" i="2"/>
  <c r="N25" i="2"/>
  <c r="N27" i="2" s="1"/>
  <c r="C10" i="2"/>
  <c r="E11" i="2"/>
  <c r="E19" i="2" s="1"/>
  <c r="O11" i="2"/>
  <c r="O19" i="2" s="1"/>
  <c r="M25" i="2"/>
  <c r="H25" i="2"/>
  <c r="I25" i="2" s="1"/>
  <c r="H26" i="2"/>
  <c r="I26" i="2" s="1"/>
  <c r="E25" i="2"/>
  <c r="E26" i="2"/>
  <c r="Y7" i="1"/>
  <c r="C19" i="2" l="1"/>
  <c r="F27" i="2"/>
  <c r="D27" i="2"/>
  <c r="H27" i="2"/>
</calcChain>
</file>

<file path=xl/sharedStrings.xml><?xml version="1.0" encoding="utf-8"?>
<sst xmlns="http://schemas.openxmlformats.org/spreadsheetml/2006/main" count="214" uniqueCount="135">
  <si>
    <t>Tevékenység típusa</t>
  </si>
  <si>
    <t>Teljes időtartam az utazással töltött idő nélkül (nap)</t>
  </si>
  <si>
    <t>Az utazással töltött idő (nap)</t>
  </si>
  <si>
    <t>Teljes időtartam az utazással töltött idővel együtt (nap)</t>
  </si>
  <si>
    <t>Speciális igényű résztvevők (a résztvevők összlétszámából)</t>
  </si>
  <si>
    <t>Távolsági sáv</t>
  </si>
  <si>
    <t>Utazási támogatás (/fő)</t>
  </si>
  <si>
    <t>100-499 km</t>
  </si>
  <si>
    <t>500-1999 km</t>
  </si>
  <si>
    <t>2000-2999 km</t>
  </si>
  <si>
    <t>3000-3999 km</t>
  </si>
  <si>
    <t>4000-7999 km</t>
  </si>
  <si>
    <t>1-14. napjáig</t>
  </si>
  <si>
    <t>Célország</t>
  </si>
  <si>
    <t>Ausztria</t>
  </si>
  <si>
    <t>Belgium</t>
  </si>
  <si>
    <t>Bulgária</t>
  </si>
  <si>
    <t>Ciprus</t>
  </si>
  <si>
    <t>Cseh Köztársaság</t>
  </si>
  <si>
    <t>Németország</t>
  </si>
  <si>
    <t>Dánia</t>
  </si>
  <si>
    <t>Észtország</t>
  </si>
  <si>
    <t>Görögország</t>
  </si>
  <si>
    <t>Spanyolország</t>
  </si>
  <si>
    <t>Finnország</t>
  </si>
  <si>
    <t>Franciaország</t>
  </si>
  <si>
    <t>Horvátország</t>
  </si>
  <si>
    <t>Írország</t>
  </si>
  <si>
    <t>Izland</t>
  </si>
  <si>
    <t>Olaszország</t>
  </si>
  <si>
    <t>Liechtenstein</t>
  </si>
  <si>
    <t>Litvánia</t>
  </si>
  <si>
    <t>Luxemburg</t>
  </si>
  <si>
    <t>Lettország</t>
  </si>
  <si>
    <t>Macedónia</t>
  </si>
  <si>
    <t>Málta</t>
  </si>
  <si>
    <t>Hollandia</t>
  </si>
  <si>
    <t>Norvégia</t>
  </si>
  <si>
    <t>Lengyelország</t>
  </si>
  <si>
    <t>Portugália</t>
  </si>
  <si>
    <t>Románia</t>
  </si>
  <si>
    <t>Svédország</t>
  </si>
  <si>
    <t>Szlovénia</t>
  </si>
  <si>
    <t>Szlovákia</t>
  </si>
  <si>
    <t>Törökország</t>
  </si>
  <si>
    <t>Egyesült Királyság</t>
  </si>
  <si>
    <t>0-09 km</t>
  </si>
  <si>
    <t>10-99 km</t>
  </si>
  <si>
    <t>8000 km-</t>
  </si>
  <si>
    <t>Szerbia</t>
  </si>
  <si>
    <t>Tevékenységek</t>
  </si>
  <si>
    <t>Sszám</t>
  </si>
  <si>
    <t>Egyéni támogatás</t>
  </si>
  <si>
    <t>Utazási támogatás</t>
  </si>
  <si>
    <t>Speciális támogatás</t>
  </si>
  <si>
    <t>Utazási támogatás (€)</t>
  </si>
  <si>
    <t>Speciális támogatás (€)</t>
  </si>
  <si>
    <t>Pályázó intézmény neve:</t>
  </si>
  <si>
    <t>Szervezési támogatás</t>
  </si>
  <si>
    <t>Összesen:</t>
  </si>
  <si>
    <t>1. országcsoport</t>
  </si>
  <si>
    <t>2. országcsoport</t>
  </si>
  <si>
    <t>3. országcsoport</t>
  </si>
  <si>
    <t>Csoport</t>
  </si>
  <si>
    <t>Országcsoportok</t>
  </si>
  <si>
    <t>Összesen</t>
  </si>
  <si>
    <t>Napok száma összesen</t>
  </si>
  <si>
    <t xml:space="preserve">Űrlapba írandó átlag napok száma </t>
  </si>
  <si>
    <t>Támogatási összeg (€)</t>
  </si>
  <si>
    <t>Résztvevők száma (fő)</t>
  </si>
  <si>
    <t>Kísérők száma (fő)</t>
  </si>
  <si>
    <t>Kísérő napok száma összesen</t>
  </si>
  <si>
    <t xml:space="preserve">Kísérő: űrlapba írandó átlag napok száma </t>
  </si>
  <si>
    <t>Kísérő támogatási összeg (€)</t>
  </si>
  <si>
    <t>Kísérő személyek</t>
  </si>
  <si>
    <t>Kísérő személyek egyéni támogatása (€)</t>
  </si>
  <si>
    <t>Támogatást nem igénylő résztvevők száma</t>
  </si>
  <si>
    <t>Költségek összefoglalása</t>
  </si>
  <si>
    <t>Támogatást igénylő résztvevők száma</t>
  </si>
  <si>
    <t>Támogatást igénylő résztvevők száma összesen</t>
  </si>
  <si>
    <t>Támogatást nem igénylő résztvevők száma összesen</t>
  </si>
  <si>
    <t>Támogatás összege összesen</t>
  </si>
  <si>
    <t>Támogatás</t>
  </si>
  <si>
    <t>Résztvevőszám</t>
  </si>
  <si>
    <t>Kísérő egyéni támogatás</t>
  </si>
  <si>
    <t>Szakképzési tanulók mobilitása</t>
  </si>
  <si>
    <t>Szakképzési munkatársak mobilitása</t>
  </si>
  <si>
    <t>Szakképzési tanulók rövid távú mobilitása</t>
  </si>
  <si>
    <t>Erasmus-Pro - szakképzési tanulók hosszú távú mobilitása</t>
  </si>
  <si>
    <t>Előkészítő látogatás - Erasmus Pro</t>
  </si>
  <si>
    <t>Külföldi képzési/oktatási tevékenységek</t>
  </si>
  <si>
    <t>Munkatársak külföldi szakmai képzése</t>
  </si>
  <si>
    <t xml:space="preserve"> Szakképzési tanulók és munkatársak mobilitása</t>
  </si>
  <si>
    <t>15-től 360. napjáig</t>
  </si>
  <si>
    <t>Tanulók napi megélhetési támogatás (EUR)</t>
  </si>
  <si>
    <t>Munkatársak napi megélhetési támogatás (EUR)</t>
  </si>
  <si>
    <r>
      <t xml:space="preserve">Résztvevők száma összesen
</t>
    </r>
    <r>
      <rPr>
        <b/>
        <u/>
        <sz val="9"/>
        <color rgb="FFFF0000"/>
        <rFont val="Calibri"/>
        <family val="2"/>
        <charset val="238"/>
        <scheme val="minor"/>
      </rPr>
      <t>Kivéve kísérőszemélyek</t>
    </r>
  </si>
  <si>
    <r>
      <t xml:space="preserve">Egyéni támogatás  </t>
    </r>
    <r>
      <rPr>
        <b/>
        <u/>
        <sz val="9"/>
        <color rgb="FFFF0000"/>
        <rFont val="Calibri"/>
        <family val="2"/>
        <charset val="238"/>
        <scheme val="minor"/>
      </rPr>
      <t>Kivéve kísérőszemélyek</t>
    </r>
    <r>
      <rPr>
        <b/>
        <sz val="9"/>
        <color theme="1"/>
        <rFont val="Calibri"/>
        <family val="2"/>
        <charset val="238"/>
        <scheme val="minor"/>
      </rPr>
      <t xml:space="preserve"> (€)</t>
    </r>
  </si>
  <si>
    <r>
      <t xml:space="preserve">Rendkívüli támogatást igénylő résztvevők </t>
    </r>
    <r>
      <rPr>
        <b/>
        <u/>
        <sz val="9"/>
        <color rgb="FFFF0000"/>
        <rFont val="Calibri"/>
        <family val="2"/>
        <charset val="238"/>
        <scheme val="minor"/>
      </rPr>
      <t>magas költségű utazás esetén</t>
    </r>
    <r>
      <rPr>
        <b/>
        <sz val="9"/>
        <color theme="1"/>
        <rFont val="Calibri"/>
        <family val="2"/>
        <charset val="238"/>
        <scheme val="minor"/>
      </rPr>
      <t xml:space="preserve">  (a résztvevők összlétszámából)</t>
    </r>
  </si>
  <si>
    <r>
      <t xml:space="preserve">Rendkívüli támogatás </t>
    </r>
    <r>
      <rPr>
        <b/>
        <u/>
        <sz val="9"/>
        <color rgb="FFFF0000"/>
        <rFont val="Calibri"/>
        <family val="2"/>
        <charset val="238"/>
        <scheme val="minor"/>
      </rPr>
      <t>magas költségű utazás esetén</t>
    </r>
    <r>
      <rPr>
        <b/>
        <sz val="9"/>
        <color theme="1"/>
        <rFont val="Calibri"/>
        <family val="2"/>
        <charset val="238"/>
        <scheme val="minor"/>
      </rPr>
      <t xml:space="preserve"> (€)</t>
    </r>
  </si>
  <si>
    <r>
      <t xml:space="preserve">Rendkívüli támogatás </t>
    </r>
    <r>
      <rPr>
        <b/>
        <u/>
        <sz val="9"/>
        <color rgb="FFFF0000"/>
        <rFont val="Calibri"/>
        <family val="2"/>
        <charset val="238"/>
        <scheme val="minor"/>
      </rPr>
      <t>hátrányos helyzet esetén</t>
    </r>
    <r>
      <rPr>
        <b/>
        <sz val="9"/>
        <color theme="1"/>
        <rFont val="Calibri"/>
        <family val="2"/>
        <charset val="238"/>
        <scheme val="minor"/>
      </rPr>
      <t xml:space="preserve"> (€)</t>
    </r>
  </si>
  <si>
    <r>
      <t xml:space="preserve">Rendkívüli támogatást igénylő résztvevők </t>
    </r>
    <r>
      <rPr>
        <b/>
        <u/>
        <sz val="9"/>
        <color rgb="FFFF0000"/>
        <rFont val="Calibri"/>
        <family val="2"/>
        <charset val="238"/>
        <scheme val="minor"/>
      </rPr>
      <t>hátrányos helyzet esetén</t>
    </r>
    <r>
      <rPr>
        <b/>
        <sz val="9"/>
        <color theme="1"/>
        <rFont val="Calibri"/>
        <family val="2"/>
        <charset val="238"/>
        <scheme val="minor"/>
      </rPr>
      <t xml:space="preserve"> (a résztvevők összlétszámából)</t>
    </r>
  </si>
  <si>
    <t>Nyelvi támogatás résztvevők</t>
  </si>
  <si>
    <t>Nyelvi támogatás (€)</t>
  </si>
  <si>
    <r>
      <rPr>
        <b/>
        <sz val="9"/>
        <color theme="5"/>
        <rFont val="Calibri"/>
        <family val="2"/>
        <charset val="238"/>
        <scheme val="minor"/>
      </rPr>
      <t>Előkészítő látogatás - Erasmus Pro</t>
    </r>
    <r>
      <rPr>
        <b/>
        <sz val="9"/>
        <color theme="1"/>
        <rFont val="Calibri"/>
        <family val="2"/>
        <charset val="238"/>
        <scheme val="minor"/>
      </rPr>
      <t xml:space="preserve"> tevékenység igénylése</t>
    </r>
  </si>
  <si>
    <r>
      <rPr>
        <b/>
        <sz val="9"/>
        <color theme="5"/>
        <rFont val="Calibri"/>
        <family val="2"/>
        <charset val="238"/>
        <scheme val="minor"/>
      </rPr>
      <t>Előkészítő látogatás - Erasmus Pro</t>
    </r>
    <r>
      <rPr>
        <b/>
        <sz val="9"/>
        <color theme="1"/>
        <rFont val="Calibri"/>
        <family val="2"/>
        <charset val="238"/>
        <scheme val="minor"/>
      </rPr>
      <t xml:space="preserve"> teljes időtartama utazási napokkal együtt</t>
    </r>
  </si>
  <si>
    <r>
      <rPr>
        <b/>
        <sz val="9"/>
        <color theme="5"/>
        <rFont val="Calibri"/>
        <family val="2"/>
        <charset val="238"/>
        <scheme val="minor"/>
      </rPr>
      <t>Előkészítő látogatás - Erasmus Pro</t>
    </r>
    <r>
      <rPr>
        <b/>
        <sz val="9"/>
        <color theme="1"/>
        <rFont val="Calibri"/>
        <family val="2"/>
        <charset val="238"/>
        <scheme val="minor"/>
      </rPr>
      <t xml:space="preserve"> támogatás összesen</t>
    </r>
  </si>
  <si>
    <r>
      <t xml:space="preserve">Előkészítő látogatás - Erasmus Pro </t>
    </r>
    <r>
      <rPr>
        <b/>
        <sz val="9"/>
        <rFont val="Calibri"/>
        <family val="2"/>
        <charset val="238"/>
        <scheme val="minor"/>
      </rPr>
      <t>Speciális igényű résztvevő</t>
    </r>
  </si>
  <si>
    <r>
      <t xml:space="preserve">Támogatást </t>
    </r>
    <r>
      <rPr>
        <b/>
        <sz val="9"/>
        <color rgb="FFFF0000"/>
        <rFont val="Calibri"/>
        <family val="2"/>
        <charset val="238"/>
        <scheme val="minor"/>
      </rPr>
      <t>nem</t>
    </r>
    <r>
      <rPr>
        <b/>
        <sz val="9"/>
        <color theme="1"/>
        <rFont val="Calibri"/>
        <family val="2"/>
        <charset val="238"/>
        <scheme val="minor"/>
      </rPr>
      <t xml:space="preserve"> igénylő résztvevők száma</t>
    </r>
  </si>
  <si>
    <r>
      <rPr>
        <b/>
        <sz val="8"/>
        <color theme="5"/>
        <rFont val="Calibri"/>
        <family val="2"/>
        <charset val="238"/>
        <scheme val="minor"/>
      </rPr>
      <t>Előkészítő látogatás - Erasmus Pro</t>
    </r>
    <r>
      <rPr>
        <b/>
        <sz val="9"/>
        <color theme="5"/>
        <rFont val="Calibri"/>
        <family val="2"/>
        <charset val="238"/>
        <scheme val="minor"/>
      </rPr>
      <t xml:space="preserve"> </t>
    </r>
    <r>
      <rPr>
        <b/>
        <sz val="9"/>
        <rFont val="Calibri"/>
        <family val="2"/>
        <charset val="238"/>
        <scheme val="minor"/>
      </rPr>
      <t>Rendkívüli támogatást igénylő résztvevő magas költségű utazás esetén</t>
    </r>
  </si>
  <si>
    <r>
      <rPr>
        <b/>
        <sz val="9"/>
        <color theme="5"/>
        <rFont val="Calibri"/>
        <family val="2"/>
        <charset val="238"/>
        <scheme val="minor"/>
      </rPr>
      <t>Előkészítő látogatás - Erasmus Pro</t>
    </r>
    <r>
      <rPr>
        <b/>
        <sz val="9"/>
        <color theme="1"/>
        <rFont val="Calibri"/>
        <family val="2"/>
        <charset val="238"/>
        <scheme val="minor"/>
      </rPr>
      <t xml:space="preserve"> Speciális támogatás (€)</t>
    </r>
  </si>
  <si>
    <r>
      <rPr>
        <b/>
        <sz val="9"/>
        <color theme="5"/>
        <rFont val="Calibri"/>
        <family val="2"/>
        <charset val="238"/>
        <scheme val="minor"/>
      </rPr>
      <t>Előkészítő látogatás - Erasmus Pro</t>
    </r>
    <r>
      <rPr>
        <b/>
        <sz val="9"/>
        <color theme="1"/>
        <rFont val="Calibri"/>
        <family val="2"/>
        <charset val="238"/>
        <scheme val="minor"/>
      </rPr>
      <t xml:space="preserve"> Rendkívüli támogatás (€)</t>
    </r>
  </si>
  <si>
    <r>
      <t xml:space="preserve">Előkészítő látogatás - Erasmus Pro </t>
    </r>
    <r>
      <rPr>
        <b/>
        <sz val="9"/>
        <rFont val="Calibri"/>
        <family val="2"/>
        <charset val="238"/>
        <scheme val="minor"/>
      </rPr>
      <t>Kísérő személy</t>
    </r>
  </si>
  <si>
    <t>Szakképzési tanulók mobilitása: Egyéni támogatás számítása</t>
  </si>
  <si>
    <t>Szakképzési munkatársak mobilitása: Egyéni támogatás számítása</t>
  </si>
  <si>
    <t>Segédlet PV utazás</t>
  </si>
  <si>
    <t>Segédlet PV résztvevők</t>
  </si>
  <si>
    <t>Segédlet PV egyéni</t>
  </si>
  <si>
    <t>Segédlet PV kísérő egyéni</t>
  </si>
  <si>
    <t>Rendkívüli támogatás (magas költségű utazás)</t>
  </si>
  <si>
    <t>Rendkívüli támogatás (hátrányos helyzet)</t>
  </si>
  <si>
    <t>Nyelvi támogatás</t>
  </si>
  <si>
    <t>Segédlet napok száma PV</t>
  </si>
  <si>
    <t>Segédlet napok száma tanuló</t>
  </si>
  <si>
    <t>Segédlet kísérők napok száma tanuló</t>
  </si>
  <si>
    <t>Segédlet napok száma munkatárs</t>
  </si>
  <si>
    <t>Segédlet kísérők napok száma munkatárs</t>
  </si>
  <si>
    <t>Segédlet napok száma kísérő PV</t>
  </si>
  <si>
    <t>Kísérő személyek száma</t>
  </si>
  <si>
    <t>Kísérő személyek teljes időtartam az utazással töltött idő nélkül (nap)</t>
  </si>
  <si>
    <t>Kísérő személyek az utazással töltött idő (nap)</t>
  </si>
  <si>
    <t>Segédlet PV kísérők</t>
  </si>
  <si>
    <t>Országcsoport</t>
  </si>
  <si>
    <t>Segédlet PV utazás összesen</t>
  </si>
  <si>
    <t>Segédlet PV utazás kísérő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</si>
</sst>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\ _F_t_-;\-* #,##0\ _F_t_-;_-* &quot;-&quot;\ _F_t_-;_-@_-"/>
    <numFmt numFmtId="164" formatCode="#,##0\ [$€-1]"/>
    <numFmt numFmtId="165" formatCode="General\ \f\ő"/>
    <numFmt numFmtId="166" formatCode="_-* #,##0\ [$€-1]_-;\-* #,##0\ [$€-1]_-;_-* &quot;-&quot;\ [$€-1]_-;_-@_-"/>
    <numFmt numFmtId="167" formatCode="0.0"/>
  </numFmts>
  <fonts count="2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9" tint="-0.49998474074526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theme="9" tint="-0.499984740745262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9" tint="-0.499984740745262"/>
      <name val="Calibri"/>
      <family val="2"/>
      <charset val="238"/>
      <scheme val="minor"/>
    </font>
    <font>
      <b/>
      <sz val="11"/>
      <color theme="9" tint="-0.499984740745262"/>
      <name val="Calibri"/>
      <family val="2"/>
      <charset val="238"/>
      <scheme val="minor"/>
    </font>
    <font>
      <b/>
      <sz val="14"/>
      <color theme="9" tint="-0.49998474074526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u/>
      <sz val="9"/>
      <color rgb="FFFF000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5"/>
      <name val="Calibri"/>
      <family val="2"/>
      <charset val="238"/>
      <scheme val="minor"/>
    </font>
    <font>
      <b/>
      <sz val="8"/>
      <color theme="5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rgb="FFFF0000"/>
      </right>
      <top style="thin">
        <color indexed="64"/>
      </top>
      <bottom style="mediumDashed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rgb="FFFF0000"/>
      </bottom>
      <diagonal/>
    </border>
    <border>
      <left/>
      <right style="thin">
        <color indexed="64"/>
      </right>
      <top style="thin">
        <color indexed="64"/>
      </top>
      <bottom style="mediumDashed">
        <color rgb="FFFF0000"/>
      </bottom>
      <diagonal/>
    </border>
    <border>
      <left style="thin">
        <color indexed="64"/>
      </left>
      <right style="slantDashDot">
        <color rgb="FF00B05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slantDashDot">
        <color rgb="FF00B050"/>
      </right>
      <top style="thin">
        <color indexed="64"/>
      </top>
      <bottom style="mediumDashed">
        <color rgb="FFFF0000"/>
      </bottom>
      <diagonal/>
    </border>
    <border>
      <left style="slantDashDot">
        <color rgb="FF00B050"/>
      </left>
      <right style="thin">
        <color indexed="64"/>
      </right>
      <top style="thin">
        <color indexed="64"/>
      </top>
      <bottom style="mediumDashed">
        <color rgb="FFFF0000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Dashed">
        <color rgb="FFFF0000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 diagonalDown="1">
      <left style="thin">
        <color indexed="64"/>
      </left>
      <right style="thin">
        <color indexed="64"/>
      </right>
      <top style="mediumDashed">
        <color rgb="FFFF0000"/>
      </top>
      <bottom style="thick">
        <color indexed="64"/>
      </bottom>
      <diagonal style="thin">
        <color indexed="64"/>
      </diagonal>
    </border>
    <border>
      <left style="thin">
        <color indexed="64"/>
      </left>
      <right style="slantDashDot">
        <color rgb="FF00B050"/>
      </right>
      <top/>
      <bottom style="thick">
        <color indexed="64"/>
      </bottom>
      <diagonal/>
    </border>
    <border>
      <left style="thin">
        <color indexed="64"/>
      </left>
      <right style="mediumDashed">
        <color rgb="FFFF0000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Dashed">
        <color rgb="FFFF0000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Dashed">
        <color rgb="FFFF0000"/>
      </right>
      <top style="thin">
        <color indexed="64"/>
      </top>
      <bottom style="thin">
        <color indexed="64"/>
      </bottom>
      <diagonal/>
    </border>
    <border>
      <left style="mediumDashed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ck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ck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Dashed">
        <color rgb="FFFF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Dashed">
        <color rgb="FFFF0000"/>
      </bottom>
      <diagonal/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Dashed">
        <color rgb="FFFF0000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slantDashDot">
        <color rgb="FF00B050"/>
      </right>
      <top/>
      <bottom style="medium">
        <color indexed="64"/>
      </bottom>
      <diagonal/>
    </border>
    <border>
      <left style="thin">
        <color indexed="64"/>
      </left>
      <right style="mediumDashed">
        <color rgb="FFFF0000"/>
      </right>
      <top/>
      <bottom style="medium">
        <color indexed="64"/>
      </bottom>
      <diagonal/>
    </border>
    <border>
      <left style="thin">
        <color indexed="64"/>
      </left>
      <right style="mediumDashed">
        <color rgb="FFFF3300"/>
      </right>
      <top style="thin">
        <color indexed="64"/>
      </top>
      <bottom style="mediumDashed">
        <color rgb="FFFF33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Dashed">
        <color rgb="FFFF33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rgb="FFFF3300"/>
      </bottom>
      <diagonal/>
    </border>
    <border>
      <left/>
      <right style="thin">
        <color indexed="64"/>
      </right>
      <top style="thin">
        <color indexed="64"/>
      </top>
      <bottom style="mediumDashed">
        <color rgb="FFFF3300"/>
      </bottom>
      <diagonal/>
    </border>
    <border>
      <left style="thin">
        <color indexed="64"/>
      </left>
      <right style="mediumDashed">
        <color rgb="FFFF33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slantDashDot">
        <color rgb="FF00B050"/>
      </right>
      <top style="thin">
        <color indexed="64"/>
      </top>
      <bottom style="mediumDashed">
        <color rgb="FFFF3300"/>
      </bottom>
      <diagonal/>
    </border>
    <border>
      <left style="slantDashDot">
        <color rgb="FF00B05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03">
    <xf numFmtId="0" fontId="0" fillId="0" borderId="0" xfId="0"/>
    <xf numFmtId="0" fontId="6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5" fillId="0" borderId="0" xfId="0" applyFont="1" applyProtection="1">
      <protection hidden="1"/>
    </xf>
    <xf numFmtId="0" fontId="0" fillId="0" borderId="0" xfId="0" applyFont="1" applyFill="1" applyBorder="1" applyAlignment="1" applyProtection="1">
      <alignment vertical="center" wrapText="1"/>
      <protection hidden="1"/>
    </xf>
    <xf numFmtId="0" fontId="9" fillId="0" borderId="0" xfId="0" applyFont="1" applyBorder="1" applyAlignment="1" applyProtection="1">
      <alignment horizontal="center" vertical="center"/>
      <protection hidden="1"/>
    </xf>
    <xf numFmtId="41" fontId="9" fillId="0" borderId="0" xfId="0" applyNumberFormat="1" applyFont="1" applyFill="1" applyAlignment="1" applyProtection="1">
      <alignment vertical="center" wrapText="1"/>
      <protection hidden="1"/>
    </xf>
    <xf numFmtId="0" fontId="5" fillId="0" borderId="0" xfId="0" applyFont="1" applyFill="1" applyProtection="1">
      <protection hidden="1"/>
    </xf>
    <xf numFmtId="0" fontId="8" fillId="0" borderId="0" xfId="0" applyFont="1" applyFill="1" applyBorder="1" applyAlignment="1" applyProtection="1">
      <alignment horizontal="center" vertical="center" wrapText="1"/>
      <protection locked="0" hidden="1"/>
    </xf>
    <xf numFmtId="0" fontId="6" fillId="0" borderId="0" xfId="0" applyNumberFormat="1" applyFont="1" applyFill="1" applyAlignment="1" applyProtection="1">
      <alignment horizontal="center" vertical="center"/>
      <protection hidden="1"/>
    </xf>
    <xf numFmtId="0" fontId="8" fillId="0" borderId="0" xfId="0" applyFont="1" applyFill="1" applyBorder="1" applyAlignment="1" applyProtection="1">
      <alignment horizontal="left" vertical="center" wrapText="1"/>
      <protection locked="0" hidden="1"/>
    </xf>
    <xf numFmtId="0" fontId="8" fillId="0" borderId="0" xfId="0" applyFont="1" applyFill="1" applyBorder="1" applyAlignment="1" applyProtection="1">
      <alignment horizontal="center" vertical="center"/>
      <protection locked="0" hidden="1"/>
    </xf>
    <xf numFmtId="0" fontId="8" fillId="0" borderId="0" xfId="0" applyFont="1" applyFill="1" applyAlignment="1" applyProtection="1">
      <alignment horizontal="center" vertical="center" wrapText="1"/>
      <protection locked="0" hidden="1"/>
    </xf>
    <xf numFmtId="0" fontId="0" fillId="0" borderId="0" xfId="0" applyFont="1" applyProtection="1">
      <protection hidden="1"/>
    </xf>
    <xf numFmtId="0" fontId="0" fillId="0" borderId="0" xfId="0" applyFont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10" fillId="0" borderId="0" xfId="0" applyFont="1" applyFill="1" applyBorder="1" applyAlignment="1" applyProtection="1">
      <alignment vertical="center" wrapText="1"/>
      <protection hidden="1"/>
    </xf>
    <xf numFmtId="0" fontId="0" fillId="0" borderId="0" xfId="0" applyAlignment="1" applyProtection="1">
      <alignment horizontal="center" vertical="center"/>
      <protection hidden="1"/>
    </xf>
    <xf numFmtId="0" fontId="13" fillId="0" borderId="0" xfId="0" applyFont="1" applyFill="1" applyBorder="1" applyAlignment="1" applyProtection="1">
      <alignment horizontal="center" vertical="center" wrapText="1"/>
      <protection locked="0" hidden="1"/>
    </xf>
    <xf numFmtId="0" fontId="14" fillId="0" borderId="0" xfId="0" applyFont="1" applyFill="1" applyBorder="1" applyAlignment="1" applyProtection="1">
      <alignment horizontal="center" vertical="center" wrapText="1"/>
      <protection locked="0" hidden="1"/>
    </xf>
    <xf numFmtId="0" fontId="13" fillId="0" borderId="0" xfId="0" applyFont="1" applyFill="1" applyAlignment="1" applyProtection="1">
      <alignment horizontal="center" vertical="center"/>
      <protection locked="0" hidden="1"/>
    </xf>
    <xf numFmtId="0" fontId="15" fillId="0" borderId="0" xfId="0" applyFont="1" applyFill="1" applyAlignment="1" applyProtection="1">
      <alignment horizontal="center" vertical="center"/>
      <protection hidden="1"/>
    </xf>
    <xf numFmtId="41" fontId="16" fillId="0" borderId="0" xfId="0" applyNumberFormat="1" applyFont="1" applyFill="1" applyAlignment="1" applyProtection="1">
      <alignment vertical="center" wrapText="1"/>
      <protection hidden="1"/>
    </xf>
    <xf numFmtId="0" fontId="8" fillId="0" borderId="0" xfId="0" applyFont="1" applyFill="1" applyBorder="1" applyAlignment="1" applyProtection="1">
      <alignment horizontal="center" vertical="center"/>
      <protection hidden="1"/>
    </xf>
    <xf numFmtId="167" fontId="18" fillId="0" borderId="1" xfId="0" applyNumberFormat="1" applyFont="1" applyBorder="1" applyAlignment="1" applyProtection="1">
      <alignment horizontal="center" vertical="center"/>
      <protection hidden="1"/>
    </xf>
    <xf numFmtId="41" fontId="19" fillId="0" borderId="9" xfId="0" applyNumberFormat="1" applyFont="1" applyBorder="1" applyAlignment="1" applyProtection="1">
      <alignment horizontal="center" vertical="center"/>
      <protection hidden="1"/>
    </xf>
    <xf numFmtId="1" fontId="20" fillId="0" borderId="1" xfId="0" applyNumberFormat="1" applyFont="1" applyBorder="1" applyAlignment="1" applyProtection="1">
      <alignment horizontal="center" vertical="center"/>
      <protection hidden="1"/>
    </xf>
    <xf numFmtId="1" fontId="20" fillId="0" borderId="27" xfId="0" applyNumberFormat="1" applyFont="1" applyBorder="1" applyAlignment="1" applyProtection="1">
      <alignment horizontal="center" vertical="center"/>
      <protection hidden="1"/>
    </xf>
    <xf numFmtId="41" fontId="20" fillId="0" borderId="25" xfId="0" applyNumberFormat="1" applyFont="1" applyBorder="1" applyAlignment="1" applyProtection="1">
      <alignment horizontal="center" vertical="center"/>
      <protection hidden="1"/>
    </xf>
    <xf numFmtId="41" fontId="20" fillId="0" borderId="26" xfId="0" applyNumberFormat="1" applyFont="1" applyBorder="1" applyAlignment="1" applyProtection="1">
      <alignment horizontal="center" vertical="center"/>
      <protection hidden="1"/>
    </xf>
    <xf numFmtId="1" fontId="20" fillId="0" borderId="24" xfId="0" applyNumberFormat="1" applyFont="1" applyBorder="1" applyAlignment="1" applyProtection="1">
      <alignment horizontal="center" vertical="center"/>
      <protection hidden="1"/>
    </xf>
    <xf numFmtId="1" fontId="20" fillId="0" borderId="28" xfId="0" applyNumberFormat="1" applyFont="1" applyBorder="1" applyAlignment="1" applyProtection="1">
      <alignment horizontal="center" vertical="center"/>
      <protection hidden="1"/>
    </xf>
    <xf numFmtId="41" fontId="20" fillId="0" borderId="9" xfId="0" applyNumberFormat="1" applyFont="1" applyBorder="1" applyAlignment="1" applyProtection="1">
      <alignment horizontal="center" vertical="center"/>
      <protection hidden="1"/>
    </xf>
    <xf numFmtId="0" fontId="11" fillId="6" borderId="24" xfId="0" applyFont="1" applyFill="1" applyBorder="1" applyAlignment="1" applyProtection="1">
      <alignment horizontal="center" vertical="center" wrapText="1"/>
      <protection hidden="1"/>
    </xf>
    <xf numFmtId="0" fontId="11" fillId="6" borderId="29" xfId="0" applyFont="1" applyFill="1" applyBorder="1" applyAlignment="1" applyProtection="1">
      <alignment horizontal="center" vertical="center" wrapText="1"/>
      <protection hidden="1"/>
    </xf>
    <xf numFmtId="1" fontId="20" fillId="0" borderId="31" xfId="0" applyNumberFormat="1" applyFont="1" applyBorder="1" applyAlignment="1" applyProtection="1">
      <alignment horizontal="center" vertical="center"/>
      <protection hidden="1"/>
    </xf>
    <xf numFmtId="41" fontId="20" fillId="0" borderId="29" xfId="0" applyNumberFormat="1" applyFont="1" applyBorder="1" applyAlignment="1" applyProtection="1">
      <alignment horizontal="center" vertical="center"/>
      <protection hidden="1"/>
    </xf>
    <xf numFmtId="41" fontId="20" fillId="0" borderId="30" xfId="0" applyNumberFormat="1" applyFont="1" applyBorder="1" applyAlignment="1" applyProtection="1">
      <alignment horizontal="center" vertical="center"/>
      <protection hidden="1"/>
    </xf>
    <xf numFmtId="41" fontId="20" fillId="0" borderId="32" xfId="0" applyNumberFormat="1" applyFont="1" applyBorder="1" applyAlignment="1" applyProtection="1">
      <alignment horizontal="center" vertical="center"/>
      <protection hidden="1"/>
    </xf>
    <xf numFmtId="41" fontId="20" fillId="0" borderId="33" xfId="0" applyNumberFormat="1" applyFont="1" applyBorder="1" applyAlignment="1" applyProtection="1">
      <alignment horizontal="center" vertical="center"/>
      <protection hidden="1"/>
    </xf>
    <xf numFmtId="1" fontId="20" fillId="0" borderId="34" xfId="0" applyNumberFormat="1" applyFont="1" applyBorder="1" applyAlignment="1" applyProtection="1">
      <alignment horizontal="center" vertical="center"/>
      <protection hidden="1"/>
    </xf>
    <xf numFmtId="41" fontId="20" fillId="0" borderId="36" xfId="0" applyNumberFormat="1" applyFont="1" applyBorder="1" applyAlignment="1" applyProtection="1">
      <alignment horizontal="center" vertical="center"/>
      <protection hidden="1"/>
    </xf>
    <xf numFmtId="41" fontId="20" fillId="0" borderId="37" xfId="0" applyNumberFormat="1" applyFont="1" applyBorder="1" applyAlignment="1" applyProtection="1">
      <alignment horizontal="center" vertical="center"/>
      <protection hidden="1"/>
    </xf>
    <xf numFmtId="1" fontId="20" fillId="0" borderId="38" xfId="0" applyNumberFormat="1" applyFont="1" applyBorder="1" applyAlignment="1" applyProtection="1">
      <alignment horizontal="center" vertical="center"/>
      <protection hidden="1"/>
    </xf>
    <xf numFmtId="41" fontId="20" fillId="0" borderId="39" xfId="0" applyNumberFormat="1" applyFont="1" applyBorder="1" applyAlignment="1" applyProtection="1">
      <alignment horizontal="center" vertical="center"/>
      <protection hidden="1"/>
    </xf>
    <xf numFmtId="41" fontId="19" fillId="0" borderId="1" xfId="0" applyNumberFormat="1" applyFont="1" applyBorder="1" applyAlignment="1" applyProtection="1">
      <alignment horizontal="center" vertical="center"/>
      <protection hidden="1"/>
    </xf>
    <xf numFmtId="1" fontId="20" fillId="7" borderId="35" xfId="0" applyNumberFormat="1" applyFont="1" applyFill="1" applyBorder="1" applyAlignment="1" applyProtection="1">
      <alignment horizontal="center" vertical="center"/>
      <protection hidden="1"/>
    </xf>
    <xf numFmtId="41" fontId="19" fillId="7" borderId="1" xfId="0" applyNumberFormat="1" applyFont="1" applyFill="1" applyBorder="1" applyAlignment="1" applyProtection="1">
      <alignment horizontal="center" vertical="center"/>
      <protection hidden="1"/>
    </xf>
    <xf numFmtId="0" fontId="23" fillId="6" borderId="1" xfId="0" applyFont="1" applyFill="1" applyBorder="1" applyAlignment="1" applyProtection="1">
      <alignment horizontal="center" vertical="center" wrapText="1"/>
      <protection hidden="1"/>
    </xf>
    <xf numFmtId="0" fontId="25" fillId="6" borderId="1" xfId="1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Protection="1">
      <protection hidden="1"/>
    </xf>
    <xf numFmtId="41" fontId="8" fillId="0" borderId="0" xfId="0" applyNumberFormat="1" applyFont="1" applyFill="1" applyAlignment="1" applyProtection="1">
      <alignment horizontal="center" vertical="center" wrapText="1"/>
      <protection locked="0" hidden="1"/>
    </xf>
    <xf numFmtId="0" fontId="23" fillId="5" borderId="1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26" fillId="5" borderId="1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Fill="1" applyProtection="1">
      <protection hidden="1"/>
    </xf>
    <xf numFmtId="0" fontId="8" fillId="0" borderId="0" xfId="0" applyFont="1" applyFill="1" applyBorder="1" applyAlignment="1" applyProtection="1">
      <alignment vertical="center" wrapText="1"/>
      <protection hidden="1"/>
    </xf>
    <xf numFmtId="0" fontId="23" fillId="0" borderId="0" xfId="0" applyNumberFormat="1" applyFont="1" applyFill="1" applyAlignment="1" applyProtection="1">
      <alignment horizontal="center" vertical="center"/>
      <protection hidden="1"/>
    </xf>
    <xf numFmtId="0" fontId="23" fillId="0" borderId="0" xfId="0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11" fillId="6" borderId="44" xfId="0" applyFont="1" applyFill="1" applyBorder="1" applyProtection="1">
      <protection hidden="1"/>
    </xf>
    <xf numFmtId="0" fontId="11" fillId="6" borderId="8" xfId="0" applyFont="1" applyFill="1" applyBorder="1" applyProtection="1">
      <protection hidden="1"/>
    </xf>
    <xf numFmtId="0" fontId="11" fillId="6" borderId="8" xfId="0" applyFont="1" applyFill="1" applyBorder="1" applyAlignment="1" applyProtection="1">
      <alignment horizontal="left" vertical="center" wrapText="1"/>
      <protection hidden="1"/>
    </xf>
    <xf numFmtId="0" fontId="11" fillId="6" borderId="8" xfId="0" applyFont="1" applyFill="1" applyBorder="1" applyAlignment="1" applyProtection="1">
      <alignment horizontal="left" vertical="center"/>
      <protection hidden="1"/>
    </xf>
    <xf numFmtId="0" fontId="11" fillId="9" borderId="8" xfId="0" applyFont="1" applyFill="1" applyBorder="1" applyAlignment="1" applyProtection="1">
      <alignment horizontal="left" vertical="center" wrapText="1"/>
      <protection hidden="1"/>
    </xf>
    <xf numFmtId="41" fontId="20" fillId="0" borderId="58" xfId="0" applyNumberFormat="1" applyFont="1" applyBorder="1" applyAlignment="1" applyProtection="1">
      <alignment horizontal="center" vertical="center"/>
      <protection hidden="1"/>
    </xf>
    <xf numFmtId="1" fontId="20" fillId="0" borderId="55" xfId="0" applyNumberFormat="1" applyFont="1" applyBorder="1" applyAlignment="1" applyProtection="1">
      <alignment horizontal="center" vertical="center"/>
      <protection hidden="1"/>
    </xf>
    <xf numFmtId="1" fontId="20" fillId="7" borderId="62" xfId="0" applyNumberFormat="1" applyFont="1" applyFill="1" applyBorder="1" applyAlignment="1" applyProtection="1">
      <alignment horizontal="center" vertical="center"/>
      <protection hidden="1"/>
    </xf>
    <xf numFmtId="41" fontId="20" fillId="0" borderId="63" xfId="0" applyNumberFormat="1" applyFont="1" applyBorder="1" applyAlignment="1" applyProtection="1">
      <alignment horizontal="center" vertical="center"/>
      <protection hidden="1"/>
    </xf>
    <xf numFmtId="41" fontId="20" fillId="0" borderId="64" xfId="0" applyNumberFormat="1" applyFont="1" applyBorder="1" applyAlignment="1" applyProtection="1">
      <alignment horizontal="center" vertical="center"/>
      <protection hidden="1"/>
    </xf>
    <xf numFmtId="41" fontId="20" fillId="0" borderId="56" xfId="0" applyNumberFormat="1" applyFont="1" applyBorder="1" applyAlignment="1" applyProtection="1">
      <alignment horizontal="center" vertical="center"/>
      <protection hidden="1"/>
    </xf>
    <xf numFmtId="0" fontId="11" fillId="6" borderId="40" xfId="0" applyFont="1" applyFill="1" applyBorder="1" applyAlignment="1" applyProtection="1">
      <alignment horizontal="center" vertical="center" wrapText="1"/>
      <protection hidden="1"/>
    </xf>
    <xf numFmtId="0" fontId="11" fillId="6" borderId="41" xfId="0" applyFont="1" applyFill="1" applyBorder="1" applyAlignment="1" applyProtection="1">
      <alignment horizontal="center" vertical="center" wrapText="1"/>
      <protection hidden="1"/>
    </xf>
    <xf numFmtId="0" fontId="11" fillId="6" borderId="42" xfId="0" applyFont="1" applyFill="1" applyBorder="1" applyAlignment="1" applyProtection="1">
      <alignment horizontal="right" vertical="center" wrapText="1"/>
      <protection hidden="1"/>
    </xf>
    <xf numFmtId="0" fontId="11" fillId="9" borderId="24" xfId="0" applyFont="1" applyFill="1" applyBorder="1" applyAlignment="1" applyProtection="1">
      <alignment horizontal="center" vertical="center" wrapText="1"/>
      <protection hidden="1"/>
    </xf>
    <xf numFmtId="0" fontId="11" fillId="9" borderId="1" xfId="0" applyFont="1" applyFill="1" applyBorder="1" applyAlignment="1" applyProtection="1">
      <alignment horizontal="center" vertical="center" wrapText="1"/>
      <protection hidden="1"/>
    </xf>
    <xf numFmtId="0" fontId="11" fillId="9" borderId="25" xfId="0" applyFont="1" applyFill="1" applyBorder="1" applyAlignment="1" applyProtection="1">
      <alignment horizontal="center" vertical="center" wrapText="1"/>
      <protection hidden="1"/>
    </xf>
    <xf numFmtId="0" fontId="11" fillId="9" borderId="32" xfId="0" applyFont="1" applyFill="1" applyBorder="1" applyAlignment="1" applyProtection="1">
      <alignment horizontal="center" vertical="center" wrapText="1"/>
      <protection hidden="1"/>
    </xf>
    <xf numFmtId="0" fontId="11" fillId="9" borderId="9" xfId="0" applyFont="1" applyFill="1" applyBorder="1" applyAlignment="1" applyProtection="1">
      <alignment horizontal="center" vertical="center" wrapText="1"/>
      <protection hidden="1"/>
    </xf>
    <xf numFmtId="0" fontId="11" fillId="6" borderId="8" xfId="0" applyFont="1" applyFill="1" applyBorder="1" applyAlignment="1" applyProtection="1">
      <alignment horizontal="center" vertical="center" wrapText="1"/>
      <protection hidden="1"/>
    </xf>
    <xf numFmtId="0" fontId="11" fillId="6" borderId="57" xfId="0" applyFont="1" applyFill="1" applyBorder="1" applyAlignment="1" applyProtection="1">
      <alignment horizontal="center" vertical="center" wrapText="1"/>
      <protection hidden="1"/>
    </xf>
    <xf numFmtId="0" fontId="11" fillId="6" borderId="54" xfId="0" applyFont="1" applyFill="1" applyBorder="1" applyAlignment="1" applyProtection="1">
      <alignment horizontal="right" vertical="center" wrapText="1"/>
      <protection hidden="1"/>
    </xf>
    <xf numFmtId="0" fontId="12" fillId="0" borderId="0" xfId="0" applyFont="1" applyBorder="1" applyAlignment="1" applyProtection="1">
      <alignment horizontal="center" vertical="center"/>
      <protection hidden="1"/>
    </xf>
    <xf numFmtId="0" fontId="11" fillId="6" borderId="1" xfId="0" applyFont="1" applyFill="1" applyBorder="1" applyAlignment="1" applyProtection="1">
      <alignment horizontal="center" vertical="center" wrapText="1"/>
      <protection hidden="1"/>
    </xf>
    <xf numFmtId="0" fontId="11" fillId="6" borderId="54" xfId="0" applyFont="1" applyFill="1" applyBorder="1" applyAlignment="1" applyProtection="1">
      <alignment horizontal="right" vertical="center"/>
      <protection hidden="1"/>
    </xf>
    <xf numFmtId="166" fontId="21" fillId="0" borderId="55" xfId="0" applyNumberFormat="1" applyFont="1" applyBorder="1" applyAlignment="1" applyProtection="1">
      <alignment horizontal="center" vertical="center"/>
      <protection hidden="1"/>
    </xf>
    <xf numFmtId="165" fontId="21" fillId="0" borderId="55" xfId="0" applyNumberFormat="1" applyFont="1" applyBorder="1" applyAlignment="1" applyProtection="1">
      <alignment horizontal="center" vertical="center"/>
      <protection hidden="1"/>
    </xf>
    <xf numFmtId="166" fontId="21" fillId="0" borderId="56" xfId="0" applyNumberFormat="1" applyFont="1" applyBorder="1" applyAlignment="1" applyProtection="1">
      <alignment horizontal="center" vertical="center"/>
      <protection hidden="1"/>
    </xf>
    <xf numFmtId="41" fontId="19" fillId="7" borderId="24" xfId="0" applyNumberFormat="1" applyFont="1" applyFill="1" applyBorder="1" applyAlignment="1" applyProtection="1">
      <alignment horizontal="center" vertical="center"/>
      <protection hidden="1"/>
    </xf>
    <xf numFmtId="0" fontId="11" fillId="6" borderId="66" xfId="0" applyFont="1" applyFill="1" applyBorder="1" applyAlignment="1" applyProtection="1">
      <alignment horizontal="left" vertical="center" wrapText="1"/>
      <protection hidden="1"/>
    </xf>
    <xf numFmtId="41" fontId="19" fillId="7" borderId="67" xfId="0" applyNumberFormat="1" applyFont="1" applyFill="1" applyBorder="1" applyAlignment="1" applyProtection="1">
      <alignment horizontal="center" vertical="center"/>
      <protection hidden="1"/>
    </xf>
    <xf numFmtId="41" fontId="19" fillId="0" borderId="24" xfId="0" applyNumberFormat="1" applyFont="1" applyFill="1" applyBorder="1" applyAlignment="1" applyProtection="1">
      <alignment horizontal="center" vertical="center"/>
      <protection hidden="1"/>
    </xf>
    <xf numFmtId="41" fontId="19" fillId="0" borderId="24" xfId="0" applyNumberFormat="1" applyFont="1" applyBorder="1" applyAlignment="1" applyProtection="1">
      <alignment horizontal="center" vertical="center"/>
      <protection hidden="1"/>
    </xf>
    <xf numFmtId="41" fontId="19" fillId="7" borderId="68" xfId="0" applyNumberFormat="1" applyFont="1" applyFill="1" applyBorder="1" applyAlignment="1" applyProtection="1">
      <alignment horizontal="center" vertical="center"/>
      <protection hidden="1"/>
    </xf>
    <xf numFmtId="0" fontId="11" fillId="6" borderId="69" xfId="0" applyFont="1" applyFill="1" applyBorder="1" applyAlignment="1" applyProtection="1">
      <alignment horizontal="center" vertical="center" wrapText="1"/>
      <protection hidden="1"/>
    </xf>
    <xf numFmtId="41" fontId="19" fillId="0" borderId="69" xfId="0" applyNumberFormat="1" applyFont="1" applyBorder="1" applyAlignment="1" applyProtection="1">
      <alignment horizontal="center" vertical="center"/>
      <protection hidden="1"/>
    </xf>
    <xf numFmtId="41" fontId="19" fillId="7" borderId="69" xfId="0" applyNumberFormat="1" applyFont="1" applyFill="1" applyBorder="1" applyAlignment="1" applyProtection="1">
      <alignment horizontal="center" vertical="center"/>
      <protection hidden="1"/>
    </xf>
    <xf numFmtId="41" fontId="22" fillId="0" borderId="69" xfId="0" applyNumberFormat="1" applyFont="1" applyBorder="1" applyAlignment="1" applyProtection="1">
      <alignment horizontal="center" vertical="center"/>
      <protection hidden="1"/>
    </xf>
    <xf numFmtId="41" fontId="22" fillId="0" borderId="65" xfId="0" applyNumberFormat="1" applyFont="1" applyBorder="1" applyAlignment="1" applyProtection="1">
      <alignment horizontal="center" vertical="center"/>
      <protection hidden="1"/>
    </xf>
    <xf numFmtId="41" fontId="19" fillId="0" borderId="29" xfId="0" applyNumberFormat="1" applyFont="1" applyBorder="1" applyAlignment="1" applyProtection="1">
      <alignment horizontal="center" vertical="center"/>
      <protection hidden="1"/>
    </xf>
    <xf numFmtId="41" fontId="19" fillId="7" borderId="29" xfId="0" applyNumberFormat="1" applyFont="1" applyFill="1" applyBorder="1" applyAlignment="1" applyProtection="1">
      <alignment horizontal="center" vertical="center"/>
      <protection hidden="1"/>
    </xf>
    <xf numFmtId="41" fontId="22" fillId="0" borderId="29" xfId="0" applyNumberFormat="1" applyFont="1" applyBorder="1" applyAlignment="1" applyProtection="1">
      <alignment horizontal="center" vertical="center"/>
      <protection hidden="1"/>
    </xf>
    <xf numFmtId="41" fontId="22" fillId="0" borderId="70" xfId="0" applyNumberFormat="1" applyFont="1" applyBorder="1" applyAlignment="1" applyProtection="1">
      <alignment horizontal="center" vertical="center"/>
      <protection hidden="1"/>
    </xf>
    <xf numFmtId="41" fontId="22" fillId="7" borderId="70" xfId="0" applyNumberFormat="1" applyFont="1" applyFill="1" applyBorder="1" applyAlignment="1" applyProtection="1">
      <alignment horizontal="center" vertical="center"/>
      <protection hidden="1"/>
    </xf>
    <xf numFmtId="165" fontId="19" fillId="0" borderId="9" xfId="0" applyNumberFormat="1" applyFont="1" applyBorder="1" applyAlignment="1" applyProtection="1">
      <alignment horizontal="center" vertical="center"/>
      <protection hidden="1"/>
    </xf>
    <xf numFmtId="0" fontId="1" fillId="4" borderId="10" xfId="0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3" fillId="0" borderId="9" xfId="0" applyFont="1" applyBorder="1" applyAlignment="1" applyProtection="1">
      <alignment horizontal="center" vertical="center" wrapText="1"/>
      <protection hidden="1"/>
    </xf>
    <xf numFmtId="0" fontId="1" fillId="4" borderId="2" xfId="0" applyFont="1" applyFill="1" applyBorder="1" applyAlignment="1" applyProtection="1">
      <alignment horizontal="center" vertical="center" wrapText="1"/>
      <protection hidden="1"/>
    </xf>
    <xf numFmtId="0" fontId="1" fillId="4" borderId="4" xfId="0" applyFont="1" applyFill="1" applyBorder="1" applyAlignment="1" applyProtection="1">
      <alignment horizontal="center" vertical="center" wrapText="1"/>
      <protection hidden="1"/>
    </xf>
    <xf numFmtId="0" fontId="1" fillId="4" borderId="10" xfId="0" applyFont="1" applyFill="1" applyBorder="1" applyAlignment="1" applyProtection="1">
      <alignment horizontal="center" vertical="center"/>
      <protection hidden="1"/>
    </xf>
    <xf numFmtId="0" fontId="0" fillId="0" borderId="8" xfId="0" applyBorder="1" applyProtection="1">
      <protection hidden="1"/>
    </xf>
    <xf numFmtId="0" fontId="3" fillId="0" borderId="1" xfId="0" applyFont="1" applyBorder="1" applyAlignment="1" applyProtection="1">
      <alignment vertical="center"/>
      <protection hidden="1"/>
    </xf>
    <xf numFmtId="0" fontId="3" fillId="0" borderId="1" xfId="0" applyFont="1" applyBorder="1" applyAlignment="1" applyProtection="1">
      <alignment horizontal="right" vertical="center"/>
      <protection hidden="1"/>
    </xf>
    <xf numFmtId="0" fontId="3" fillId="0" borderId="9" xfId="0" applyFont="1" applyBorder="1" applyAlignment="1" applyProtection="1">
      <alignment horizontal="right" vertical="center"/>
      <protection hidden="1"/>
    </xf>
    <xf numFmtId="0" fontId="0" fillId="0" borderId="8" xfId="0" applyBorder="1" applyAlignment="1" applyProtection="1">
      <alignment horizontal="left" vertical="center"/>
      <protection hidden="1"/>
    </xf>
    <xf numFmtId="164" fontId="0" fillId="0" borderId="9" xfId="0" applyNumberFormat="1" applyBorder="1" applyAlignment="1" applyProtection="1">
      <alignment horizontal="center" vertical="center"/>
      <protection hidden="1"/>
    </xf>
    <xf numFmtId="0" fontId="0" fillId="0" borderId="11" xfId="0" applyBorder="1" applyProtection="1">
      <protection hidden="1"/>
    </xf>
    <xf numFmtId="0" fontId="0" fillId="0" borderId="12" xfId="0" applyBorder="1" applyProtection="1">
      <protection hidden="1"/>
    </xf>
    <xf numFmtId="0" fontId="0" fillId="0" borderId="5" xfId="0" applyBorder="1" applyAlignment="1" applyProtection="1">
      <alignment horizontal="left" vertical="center"/>
      <protection hidden="1"/>
    </xf>
    <xf numFmtId="164" fontId="0" fillId="0" borderId="7" xfId="0" applyNumberFormat="1" applyBorder="1" applyAlignment="1" applyProtection="1">
      <alignment horizontal="center" vertical="center"/>
      <protection hidden="1"/>
    </xf>
    <xf numFmtId="0" fontId="3" fillId="0" borderId="0" xfId="0" applyFont="1" applyProtection="1">
      <protection hidden="1"/>
    </xf>
    <xf numFmtId="0" fontId="0" fillId="0" borderId="5" xfId="0" applyBorder="1" applyProtection="1">
      <protection hidden="1"/>
    </xf>
    <xf numFmtId="0" fontId="3" fillId="0" borderId="6" xfId="0" applyFont="1" applyBorder="1" applyAlignment="1" applyProtection="1">
      <alignment vertical="center"/>
      <protection hidden="1"/>
    </xf>
    <xf numFmtId="0" fontId="3" fillId="0" borderId="6" xfId="0" applyFont="1" applyBorder="1" applyAlignment="1" applyProtection="1">
      <alignment horizontal="right" vertical="center"/>
      <protection hidden="1"/>
    </xf>
    <xf numFmtId="0" fontId="3" fillId="0" borderId="7" xfId="0" applyFont="1" applyBorder="1" applyAlignment="1" applyProtection="1">
      <alignment horizontal="right" vertical="center"/>
      <protection hidden="1"/>
    </xf>
    <xf numFmtId="0" fontId="8" fillId="0" borderId="0" xfId="0" applyFont="1" applyFill="1" applyBorder="1" applyAlignment="1" applyProtection="1">
      <alignment horizontal="left" vertical="center" wrapText="1"/>
      <protection hidden="1"/>
    </xf>
    <xf numFmtId="0" fontId="23" fillId="9" borderId="8" xfId="0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Border="1" applyAlignment="1" applyProtection="1">
      <alignment horizontal="center" vertical="center"/>
      <protection hidden="1"/>
    </xf>
    <xf numFmtId="0" fontId="1" fillId="3" borderId="16" xfId="0" applyFont="1" applyFill="1" applyBorder="1" applyAlignment="1" applyProtection="1">
      <alignment horizontal="center" vertical="center"/>
      <protection hidden="1"/>
    </xf>
    <xf numFmtId="0" fontId="1" fillId="3" borderId="17" xfId="0" applyFont="1" applyFill="1" applyBorder="1" applyAlignment="1" applyProtection="1">
      <alignment horizontal="center" vertical="center"/>
      <protection hidden="1"/>
    </xf>
    <xf numFmtId="0" fontId="1" fillId="3" borderId="19" xfId="0" applyFont="1" applyFill="1" applyBorder="1" applyAlignment="1" applyProtection="1">
      <alignment horizontal="center" vertical="center"/>
      <protection hidden="1"/>
    </xf>
    <xf numFmtId="0" fontId="1" fillId="3" borderId="0" xfId="0" applyFont="1" applyFill="1" applyBorder="1" applyAlignment="1" applyProtection="1">
      <alignment horizontal="center" vertical="center"/>
      <protection hidden="1"/>
    </xf>
    <xf numFmtId="0" fontId="1" fillId="3" borderId="21" xfId="0" applyFont="1" applyFill="1" applyBorder="1" applyAlignment="1" applyProtection="1">
      <alignment horizontal="center" vertical="center"/>
      <protection hidden="1"/>
    </xf>
    <xf numFmtId="0" fontId="1" fillId="3" borderId="22" xfId="0" applyFont="1" applyFill="1" applyBorder="1" applyAlignment="1" applyProtection="1">
      <alignment horizontal="center" vertical="center"/>
      <protection hidden="1"/>
    </xf>
    <xf numFmtId="0" fontId="10" fillId="5" borderId="16" xfId="0" applyFont="1" applyFill="1" applyBorder="1" applyAlignment="1" applyProtection="1">
      <alignment horizontal="center" vertical="center" wrapText="1"/>
      <protection locked="0"/>
    </xf>
    <xf numFmtId="0" fontId="10" fillId="5" borderId="17" xfId="0" applyFont="1" applyFill="1" applyBorder="1" applyAlignment="1" applyProtection="1">
      <alignment horizontal="center" vertical="center" wrapText="1"/>
      <protection locked="0"/>
    </xf>
    <xf numFmtId="0" fontId="10" fillId="5" borderId="18" xfId="0" applyFont="1" applyFill="1" applyBorder="1" applyAlignment="1" applyProtection="1">
      <alignment horizontal="center" vertical="center" wrapText="1"/>
      <protection locked="0"/>
    </xf>
    <xf numFmtId="0" fontId="10" fillId="5" borderId="19" xfId="0" applyFont="1" applyFill="1" applyBorder="1" applyAlignment="1" applyProtection="1">
      <alignment horizontal="center" vertical="center" wrapText="1"/>
      <protection locked="0"/>
    </xf>
    <xf numFmtId="0" fontId="10" fillId="5" borderId="0" xfId="0" applyFont="1" applyFill="1" applyBorder="1" applyAlignment="1" applyProtection="1">
      <alignment horizontal="center" vertical="center" wrapText="1"/>
      <protection locked="0"/>
    </xf>
    <xf numFmtId="0" fontId="10" fillId="5" borderId="20" xfId="0" applyFont="1" applyFill="1" applyBorder="1" applyAlignment="1" applyProtection="1">
      <alignment horizontal="center" vertical="center" wrapText="1"/>
      <protection locked="0"/>
    </xf>
    <xf numFmtId="0" fontId="10" fillId="5" borderId="21" xfId="0" applyFont="1" applyFill="1" applyBorder="1" applyAlignment="1" applyProtection="1">
      <alignment horizontal="center" vertical="center" wrapText="1"/>
      <protection locked="0"/>
    </xf>
    <xf numFmtId="0" fontId="10" fillId="5" borderId="22" xfId="0" applyFont="1" applyFill="1" applyBorder="1" applyAlignment="1" applyProtection="1">
      <alignment horizontal="center" vertical="center" wrapText="1"/>
      <protection locked="0"/>
    </xf>
    <xf numFmtId="0" fontId="10" fillId="5" borderId="23" xfId="0" applyFont="1" applyFill="1" applyBorder="1" applyAlignment="1" applyProtection="1">
      <alignment horizontal="center" vertical="center" wrapText="1"/>
      <protection locked="0"/>
    </xf>
    <xf numFmtId="0" fontId="23" fillId="3" borderId="16" xfId="0" applyFont="1" applyFill="1" applyBorder="1" applyAlignment="1" applyProtection="1">
      <alignment horizontal="center" vertical="center"/>
      <protection hidden="1"/>
    </xf>
    <xf numFmtId="0" fontId="23" fillId="3" borderId="17" xfId="0" applyFont="1" applyFill="1" applyBorder="1" applyAlignment="1" applyProtection="1">
      <alignment horizontal="center" vertical="center"/>
      <protection hidden="1"/>
    </xf>
    <xf numFmtId="0" fontId="23" fillId="3" borderId="18" xfId="0" applyFont="1" applyFill="1" applyBorder="1" applyAlignment="1" applyProtection="1">
      <alignment horizontal="center" vertical="center"/>
      <protection hidden="1"/>
    </xf>
    <xf numFmtId="0" fontId="23" fillId="3" borderId="19" xfId="0" applyFont="1" applyFill="1" applyBorder="1" applyAlignment="1" applyProtection="1">
      <alignment horizontal="center" vertical="center"/>
      <protection hidden="1"/>
    </xf>
    <xf numFmtId="0" fontId="23" fillId="3" borderId="0" xfId="0" applyFont="1" applyFill="1" applyBorder="1" applyAlignment="1" applyProtection="1">
      <alignment horizontal="center" vertical="center"/>
      <protection hidden="1"/>
    </xf>
    <xf numFmtId="0" fontId="23" fillId="3" borderId="20" xfId="0" applyFont="1" applyFill="1" applyBorder="1" applyAlignment="1" applyProtection="1">
      <alignment horizontal="center" vertical="center"/>
      <protection hidden="1"/>
    </xf>
    <xf numFmtId="0" fontId="23" fillId="3" borderId="21" xfId="0" applyFont="1" applyFill="1" applyBorder="1" applyAlignment="1" applyProtection="1">
      <alignment horizontal="center" vertical="center"/>
      <protection hidden="1"/>
    </xf>
    <xf numFmtId="0" fontId="23" fillId="3" borderId="22" xfId="0" applyFont="1" applyFill="1" applyBorder="1" applyAlignment="1" applyProtection="1">
      <alignment horizontal="center" vertical="center"/>
      <protection hidden="1"/>
    </xf>
    <xf numFmtId="0" fontId="23" fillId="3" borderId="23" xfId="0" applyFont="1" applyFill="1" applyBorder="1" applyAlignment="1" applyProtection="1">
      <alignment horizontal="center" vertical="center"/>
      <protection hidden="1"/>
    </xf>
    <xf numFmtId="0" fontId="28" fillId="5" borderId="1" xfId="0" applyFont="1" applyFill="1" applyBorder="1" applyAlignment="1" applyProtection="1">
      <alignment horizontal="center" vertical="center" wrapText="1"/>
      <protection hidden="1"/>
    </xf>
    <xf numFmtId="0" fontId="12" fillId="8" borderId="2" xfId="0" applyFont="1" applyFill="1" applyBorder="1" applyAlignment="1" applyProtection="1">
      <alignment horizontal="center" vertical="center" wrapText="1"/>
      <protection hidden="1"/>
    </xf>
    <xf numFmtId="0" fontId="12" fillId="8" borderId="3" xfId="0" applyFont="1" applyFill="1" applyBorder="1" applyAlignment="1" applyProtection="1">
      <alignment horizontal="center" vertical="center" wrapText="1"/>
      <protection hidden="1"/>
    </xf>
    <xf numFmtId="0" fontId="12" fillId="8" borderId="4" xfId="0" applyFont="1" applyFill="1" applyBorder="1" applyAlignment="1" applyProtection="1">
      <alignment horizontal="center" vertical="center" wrapText="1"/>
      <protection hidden="1"/>
    </xf>
    <xf numFmtId="0" fontId="11" fillId="6" borderId="1" xfId="0" applyFont="1" applyFill="1" applyBorder="1" applyAlignment="1" applyProtection="1">
      <alignment horizontal="center" vertical="center" wrapText="1"/>
      <protection hidden="1"/>
    </xf>
    <xf numFmtId="0" fontId="11" fillId="6" borderId="9" xfId="0" applyFont="1" applyFill="1" applyBorder="1" applyAlignment="1" applyProtection="1">
      <alignment horizontal="center" vertical="center" wrapText="1"/>
      <protection hidden="1"/>
    </xf>
    <xf numFmtId="0" fontId="2" fillId="3" borderId="16" xfId="0" applyFont="1" applyFill="1" applyBorder="1" applyAlignment="1" applyProtection="1">
      <alignment horizontal="center" vertical="center"/>
      <protection hidden="1"/>
    </xf>
    <xf numFmtId="0" fontId="2" fillId="3" borderId="17" xfId="0" applyFont="1" applyFill="1" applyBorder="1" applyAlignment="1" applyProtection="1">
      <alignment horizontal="center" vertical="center"/>
      <protection hidden="1"/>
    </xf>
    <xf numFmtId="0" fontId="2" fillId="3" borderId="18" xfId="0" applyFont="1" applyFill="1" applyBorder="1" applyAlignment="1" applyProtection="1">
      <alignment horizontal="center" vertical="center"/>
      <protection hidden="1"/>
    </xf>
    <xf numFmtId="0" fontId="2" fillId="3" borderId="19" xfId="0" applyFont="1" applyFill="1" applyBorder="1" applyAlignment="1" applyProtection="1">
      <alignment horizontal="center" vertical="center"/>
      <protection hidden="1"/>
    </xf>
    <xf numFmtId="0" fontId="2" fillId="3" borderId="0" xfId="0" applyFont="1" applyFill="1" applyBorder="1" applyAlignment="1" applyProtection="1">
      <alignment horizontal="center" vertical="center"/>
      <protection hidden="1"/>
    </xf>
    <xf numFmtId="0" fontId="2" fillId="3" borderId="20" xfId="0" applyFont="1" applyFill="1" applyBorder="1" applyAlignment="1" applyProtection="1">
      <alignment horizontal="center" vertical="center"/>
      <protection hidden="1"/>
    </xf>
    <xf numFmtId="0" fontId="2" fillId="3" borderId="21" xfId="0" applyFont="1" applyFill="1" applyBorder="1" applyAlignment="1" applyProtection="1">
      <alignment horizontal="center" vertical="center"/>
      <protection hidden="1"/>
    </xf>
    <xf numFmtId="0" fontId="2" fillId="3" borderId="22" xfId="0" applyFont="1" applyFill="1" applyBorder="1" applyAlignment="1" applyProtection="1">
      <alignment horizontal="center" vertical="center"/>
      <protection hidden="1"/>
    </xf>
    <xf numFmtId="0" fontId="2" fillId="3" borderId="23" xfId="0" applyFont="1" applyFill="1" applyBorder="1" applyAlignment="1" applyProtection="1">
      <alignment horizontal="center" vertical="center"/>
      <protection hidden="1"/>
    </xf>
    <xf numFmtId="0" fontId="10" fillId="5" borderId="16" xfId="0" applyFont="1" applyFill="1" applyBorder="1" applyAlignment="1" applyProtection="1">
      <alignment horizontal="center" vertical="center" wrapText="1"/>
      <protection hidden="1"/>
    </xf>
    <xf numFmtId="0" fontId="10" fillId="5" borderId="17" xfId="0" applyFont="1" applyFill="1" applyBorder="1" applyAlignment="1" applyProtection="1">
      <alignment horizontal="center" vertical="center" wrapText="1"/>
      <protection hidden="1"/>
    </xf>
    <xf numFmtId="0" fontId="10" fillId="5" borderId="18" xfId="0" applyFont="1" applyFill="1" applyBorder="1" applyAlignment="1" applyProtection="1">
      <alignment horizontal="center" vertical="center" wrapText="1"/>
      <protection hidden="1"/>
    </xf>
    <xf numFmtId="0" fontId="10" fillId="5" borderId="19" xfId="0" applyFont="1" applyFill="1" applyBorder="1" applyAlignment="1" applyProtection="1">
      <alignment horizontal="center" vertical="center" wrapText="1"/>
      <protection hidden="1"/>
    </xf>
    <xf numFmtId="0" fontId="10" fillId="5" borderId="0" xfId="0" applyFont="1" applyFill="1" applyBorder="1" applyAlignment="1" applyProtection="1">
      <alignment horizontal="center" vertical="center" wrapText="1"/>
      <protection hidden="1"/>
    </xf>
    <xf numFmtId="0" fontId="10" fillId="5" borderId="20" xfId="0" applyFont="1" applyFill="1" applyBorder="1" applyAlignment="1" applyProtection="1">
      <alignment horizontal="center" vertical="center" wrapText="1"/>
      <protection hidden="1"/>
    </xf>
    <xf numFmtId="0" fontId="10" fillId="5" borderId="21" xfId="0" applyFont="1" applyFill="1" applyBorder="1" applyAlignment="1" applyProtection="1">
      <alignment horizontal="center" vertical="center" wrapText="1"/>
      <protection hidden="1"/>
    </xf>
    <xf numFmtId="0" fontId="10" fillId="5" borderId="22" xfId="0" applyFont="1" applyFill="1" applyBorder="1" applyAlignment="1" applyProtection="1">
      <alignment horizontal="center" vertical="center" wrapText="1"/>
      <protection hidden="1"/>
    </xf>
    <xf numFmtId="0" fontId="10" fillId="5" borderId="23" xfId="0" applyFont="1" applyFill="1" applyBorder="1" applyAlignment="1" applyProtection="1">
      <alignment horizontal="center" vertical="center" wrapText="1"/>
      <protection hidden="1"/>
    </xf>
    <xf numFmtId="0" fontId="11" fillId="6" borderId="24" xfId="0" applyFont="1" applyFill="1" applyBorder="1" applyAlignment="1" applyProtection="1">
      <alignment horizontal="center" vertical="center" wrapText="1"/>
      <protection hidden="1"/>
    </xf>
    <xf numFmtId="0" fontId="11" fillId="6" borderId="29" xfId="0" applyFont="1" applyFill="1" applyBorder="1" applyAlignment="1" applyProtection="1">
      <alignment horizontal="center" vertical="center" wrapText="1"/>
      <protection hidden="1"/>
    </xf>
    <xf numFmtId="0" fontId="11" fillId="6" borderId="71" xfId="0" applyFont="1" applyFill="1" applyBorder="1" applyAlignment="1" applyProtection="1">
      <alignment horizontal="center" vertical="center" wrapText="1"/>
      <protection hidden="1"/>
    </xf>
    <xf numFmtId="0" fontId="11" fillId="6" borderId="59" xfId="0" applyFont="1" applyFill="1" applyBorder="1" applyAlignment="1" applyProtection="1">
      <alignment horizontal="center"/>
      <protection hidden="1"/>
    </xf>
    <xf numFmtId="0" fontId="11" fillId="6" borderId="61" xfId="0" applyFont="1" applyFill="1" applyBorder="1" applyAlignment="1" applyProtection="1">
      <alignment horizontal="center"/>
      <protection hidden="1"/>
    </xf>
    <xf numFmtId="0" fontId="17" fillId="6" borderId="43" xfId="0" applyFont="1" applyFill="1" applyBorder="1" applyAlignment="1" applyProtection="1">
      <alignment horizontal="center" vertical="center" wrapText="1"/>
      <protection hidden="1"/>
    </xf>
    <xf numFmtId="0" fontId="17" fillId="6" borderId="48" xfId="0" applyFont="1" applyFill="1" applyBorder="1" applyAlignment="1" applyProtection="1">
      <alignment horizontal="center" vertical="center" wrapText="1"/>
      <protection hidden="1"/>
    </xf>
    <xf numFmtId="0" fontId="17" fillId="6" borderId="49" xfId="0" applyFont="1" applyFill="1" applyBorder="1" applyAlignment="1" applyProtection="1">
      <alignment horizontal="center" vertical="center" wrapText="1"/>
      <protection hidden="1"/>
    </xf>
    <xf numFmtId="0" fontId="17" fillId="6" borderId="50" xfId="0" applyFont="1" applyFill="1" applyBorder="1" applyAlignment="1" applyProtection="1">
      <alignment horizontal="center" vertical="center" wrapText="1"/>
      <protection hidden="1"/>
    </xf>
    <xf numFmtId="0" fontId="17" fillId="6" borderId="60" xfId="0" applyFont="1" applyFill="1" applyBorder="1" applyAlignment="1" applyProtection="1">
      <alignment horizontal="center" vertical="center" wrapText="1"/>
      <protection hidden="1"/>
    </xf>
    <xf numFmtId="0" fontId="12" fillId="8" borderId="13" xfId="0" applyFont="1" applyFill="1" applyBorder="1" applyAlignment="1" applyProtection="1">
      <alignment horizontal="center" vertical="center" wrapText="1"/>
      <protection hidden="1"/>
    </xf>
    <xf numFmtId="0" fontId="12" fillId="8" borderId="14" xfId="0" applyFont="1" applyFill="1" applyBorder="1" applyAlignment="1" applyProtection="1">
      <alignment horizontal="center" vertical="center" wrapText="1"/>
      <protection hidden="1"/>
    </xf>
    <xf numFmtId="0" fontId="12" fillId="8" borderId="15" xfId="0" applyFont="1" applyFill="1" applyBorder="1" applyAlignment="1" applyProtection="1">
      <alignment horizontal="center" vertical="center" wrapText="1"/>
      <protection hidden="1"/>
    </xf>
    <xf numFmtId="0" fontId="11" fillId="6" borderId="69" xfId="0" applyFont="1" applyFill="1" applyBorder="1" applyAlignment="1" applyProtection="1">
      <alignment horizontal="center" vertical="center" wrapText="1"/>
      <protection hidden="1"/>
    </xf>
    <xf numFmtId="0" fontId="12" fillId="8" borderId="45" xfId="0" applyFont="1" applyFill="1" applyBorder="1" applyAlignment="1" applyProtection="1">
      <alignment horizontal="center" vertical="center" wrapText="1"/>
      <protection hidden="1"/>
    </xf>
    <xf numFmtId="0" fontId="12" fillId="8" borderId="46" xfId="0" applyFont="1" applyFill="1" applyBorder="1" applyAlignment="1" applyProtection="1">
      <alignment horizontal="center" vertical="center" wrapText="1"/>
      <protection hidden="1"/>
    </xf>
    <xf numFmtId="0" fontId="12" fillId="8" borderId="47" xfId="0" applyFont="1" applyFill="1" applyBorder="1" applyAlignment="1" applyProtection="1">
      <alignment horizontal="center" vertical="center" wrapText="1"/>
      <protection hidden="1"/>
    </xf>
    <xf numFmtId="0" fontId="17" fillId="6" borderId="51" xfId="0" applyFont="1" applyFill="1" applyBorder="1" applyAlignment="1" applyProtection="1">
      <alignment horizontal="center" vertical="center" wrapText="1"/>
      <protection hidden="1"/>
    </xf>
    <xf numFmtId="0" fontId="11" fillId="6" borderId="52" xfId="0" applyFont="1" applyFill="1" applyBorder="1" applyAlignment="1" applyProtection="1">
      <alignment horizontal="center"/>
      <protection hidden="1"/>
    </xf>
    <xf numFmtId="0" fontId="11" fillId="6" borderId="53" xfId="0" applyFont="1" applyFill="1" applyBorder="1" applyAlignment="1" applyProtection="1">
      <alignment horizontal="center"/>
      <protection hidden="1"/>
    </xf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0" fontId="4" fillId="2" borderId="9" xfId="0" applyFont="1" applyFill="1" applyBorder="1" applyAlignment="1" applyProtection="1">
      <alignment horizontal="center" vertical="center" wrapText="1"/>
      <protection hidden="1"/>
    </xf>
    <xf numFmtId="0" fontId="4" fillId="2" borderId="8" xfId="0" applyFont="1" applyFill="1" applyBorder="1" applyAlignment="1" applyProtection="1">
      <alignment horizontal="center" vertical="center" wrapText="1"/>
      <protection hidden="1"/>
    </xf>
    <xf numFmtId="0" fontId="4" fillId="2" borderId="13" xfId="0" applyFont="1" applyFill="1" applyBorder="1" applyAlignment="1" applyProtection="1">
      <alignment horizontal="center" vertical="center" wrapText="1"/>
      <protection hidden="1"/>
    </xf>
    <xf numFmtId="0" fontId="4" fillId="2" borderId="14" xfId="0" applyFont="1" applyFill="1" applyBorder="1" applyAlignment="1" applyProtection="1">
      <alignment horizontal="center" vertical="center" wrapText="1"/>
      <protection hidden="1"/>
    </xf>
    <xf numFmtId="0" fontId="4" fillId="2" borderId="15" xfId="0" applyFont="1" applyFill="1" applyBorder="1" applyAlignment="1" applyProtection="1">
      <alignment horizontal="center" vertical="center" wrapText="1"/>
      <protection hidden="1"/>
    </xf>
  </cellXfs>
  <cellStyles count="2">
    <cellStyle name="Hivatkozás" xfId="1" builtinId="8"/>
    <cellStyle name="Normál" xfId="0" builtinId="0"/>
  </cellStyles>
  <dxfs count="35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9966"/>
        </patternFill>
      </fill>
    </dxf>
    <dxf>
      <fill>
        <patternFill>
          <bgColor theme="8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92D05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8" tint="0.3999450666829432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9966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92D05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FF3300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c.europa.eu/programmes/erasmus-plus/resources/distance-calculator_en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ec.europa.eu/programmes/erasmus-plus/resources/distance-calculator_en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>
    <tabColor theme="9" tint="-0.499984740745262"/>
    <pageSetUpPr fitToPage="1"/>
  </sheetPr>
  <dimension ref="A1:AH116"/>
  <sheetViews>
    <sheetView tabSelected="1" topLeftCell="A4" zoomScale="80" zoomScaleNormal="80" zoomScaleSheetLayoutView="80" workbookViewId="0">
      <selection activeCell="E2" sqref="E2:T4"/>
    </sheetView>
  </sheetViews>
  <sheetFormatPr defaultColWidth="9.140625" defaultRowHeight="12.75" x14ac:dyDescent="0.2"/>
  <cols>
    <col min="1" max="1" width="5.7109375" style="1" customWidth="1"/>
    <col min="2" max="2" width="27.42578125" style="3" customWidth="1"/>
    <col min="3" max="3" width="17.5703125" style="3" bestFit="1" customWidth="1"/>
    <col min="4" max="4" width="15.28515625" style="3" customWidth="1"/>
    <col min="5" max="5" width="13.28515625" style="2" customWidth="1"/>
    <col min="6" max="6" width="11.42578125" style="2" customWidth="1"/>
    <col min="7" max="7" width="13.5703125" style="2" customWidth="1"/>
    <col min="8" max="8" width="13.85546875" style="2" customWidth="1"/>
    <col min="9" max="10" width="16.140625" style="2" customWidth="1"/>
    <col min="11" max="11" width="8.7109375" style="2" customWidth="1"/>
    <col min="12" max="12" width="13" style="2" customWidth="1"/>
    <col min="13" max="13" width="13.5703125" style="2" customWidth="1"/>
    <col min="14" max="14" width="14.5703125" style="2" customWidth="1"/>
    <col min="15" max="15" width="12" style="2" customWidth="1"/>
    <col min="16" max="16" width="13.85546875" style="53" customWidth="1"/>
    <col min="17" max="17" width="12.7109375" style="2" customWidth="1"/>
    <col min="18" max="18" width="13.28515625" style="2" customWidth="1"/>
    <col min="19" max="19" width="14.5703125" style="2" customWidth="1"/>
    <col min="20" max="20" width="12.5703125" style="2" customWidth="1"/>
    <col min="21" max="21" width="12.42578125" style="2" customWidth="1"/>
    <col min="22" max="22" width="12.28515625" style="2" bestFit="1" customWidth="1"/>
    <col min="23" max="23" width="10.140625" style="2" customWidth="1"/>
    <col min="24" max="24" width="11" style="2" customWidth="1"/>
    <col min="25" max="25" width="13.28515625" style="2" customWidth="1"/>
    <col min="26" max="26" width="14.42578125" style="2" customWidth="1"/>
    <col min="27" max="28" width="12.140625" style="2" customWidth="1"/>
    <col min="29" max="29" width="13.5703125" style="2" customWidth="1"/>
    <col min="30" max="30" width="13.85546875" style="2" customWidth="1"/>
    <col min="31" max="31" width="10.5703125" style="2" customWidth="1"/>
    <col min="32" max="32" width="10.85546875" style="3" customWidth="1"/>
    <col min="33" max="33" width="13" style="3" customWidth="1"/>
    <col min="34" max="16384" width="9.140625" style="3"/>
  </cols>
  <sheetData>
    <row r="1" spans="1:34" ht="27" customHeight="1" x14ac:dyDescent="0.2">
      <c r="A1" s="128" t="s">
        <v>85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82"/>
      <c r="AD1" s="82"/>
      <c r="AE1" s="82"/>
    </row>
    <row r="2" spans="1:34" ht="12.75" customHeight="1" x14ac:dyDescent="0.2">
      <c r="A2" s="129" t="s">
        <v>57</v>
      </c>
      <c r="B2" s="130"/>
      <c r="C2" s="130"/>
      <c r="D2" s="130"/>
      <c r="E2" s="135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7"/>
      <c r="U2" s="16"/>
      <c r="V2" s="16"/>
      <c r="W2" s="16"/>
      <c r="X2" s="16"/>
      <c r="Y2" s="16"/>
      <c r="Z2" s="4"/>
      <c r="AA2" s="4"/>
      <c r="AB2" s="4"/>
      <c r="AC2" s="4"/>
      <c r="AD2" s="4"/>
      <c r="AE2" s="4"/>
    </row>
    <row r="3" spans="1:34" ht="12.75" customHeight="1" x14ac:dyDescent="0.2">
      <c r="A3" s="131"/>
      <c r="B3" s="132"/>
      <c r="C3" s="132"/>
      <c r="D3" s="132"/>
      <c r="E3" s="138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40"/>
      <c r="U3" s="16"/>
      <c r="V3" s="16"/>
      <c r="W3" s="16"/>
      <c r="X3" s="16"/>
      <c r="Y3" s="16"/>
      <c r="Z3" s="4"/>
      <c r="AA3" s="4"/>
      <c r="AB3" s="4"/>
      <c r="AC3" s="4"/>
      <c r="AD3" s="4"/>
      <c r="AE3" s="4"/>
    </row>
    <row r="4" spans="1:34" ht="12.75" customHeight="1" x14ac:dyDescent="0.2">
      <c r="A4" s="133"/>
      <c r="B4" s="134"/>
      <c r="C4" s="134"/>
      <c r="D4" s="134"/>
      <c r="E4" s="141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3"/>
      <c r="U4" s="16"/>
      <c r="V4" s="6"/>
      <c r="W4" s="16"/>
      <c r="X4" s="16"/>
      <c r="Y4" s="16"/>
      <c r="Z4" s="4"/>
      <c r="AA4" s="4"/>
      <c r="AB4" s="4"/>
      <c r="AC4" s="4"/>
      <c r="AD4" s="4"/>
      <c r="AE4" s="4"/>
    </row>
    <row r="6" spans="1:34" s="50" customFormat="1" ht="79.150000000000006" customHeight="1" x14ac:dyDescent="0.2">
      <c r="A6" s="48" t="s">
        <v>51</v>
      </c>
      <c r="B6" s="48" t="s">
        <v>0</v>
      </c>
      <c r="C6" s="48" t="s">
        <v>13</v>
      </c>
      <c r="D6" s="48" t="s">
        <v>64</v>
      </c>
      <c r="E6" s="48" t="s">
        <v>1</v>
      </c>
      <c r="F6" s="48" t="s">
        <v>2</v>
      </c>
      <c r="G6" s="48" t="s">
        <v>3</v>
      </c>
      <c r="H6" s="48" t="s">
        <v>4</v>
      </c>
      <c r="I6" s="48" t="s">
        <v>98</v>
      </c>
      <c r="J6" s="48" t="s">
        <v>101</v>
      </c>
      <c r="K6" s="127" t="s">
        <v>128</v>
      </c>
      <c r="L6" s="127" t="s">
        <v>129</v>
      </c>
      <c r="M6" s="127" t="s">
        <v>130</v>
      </c>
      <c r="N6" s="48" t="s">
        <v>96</v>
      </c>
      <c r="O6" s="48" t="s">
        <v>108</v>
      </c>
      <c r="P6" s="49" t="s">
        <v>5</v>
      </c>
      <c r="Q6" s="48" t="s">
        <v>55</v>
      </c>
      <c r="R6" s="48" t="s">
        <v>75</v>
      </c>
      <c r="S6" s="48" t="s">
        <v>97</v>
      </c>
      <c r="T6" s="48" t="s">
        <v>56</v>
      </c>
      <c r="U6" s="48" t="s">
        <v>99</v>
      </c>
      <c r="V6" s="48" t="s">
        <v>100</v>
      </c>
      <c r="W6" s="48" t="s">
        <v>102</v>
      </c>
      <c r="X6" s="48" t="s">
        <v>103</v>
      </c>
      <c r="Y6" s="48" t="s">
        <v>65</v>
      </c>
      <c r="Z6" s="52" t="s">
        <v>104</v>
      </c>
      <c r="AA6" s="54" t="s">
        <v>112</v>
      </c>
      <c r="AB6" s="54" t="s">
        <v>107</v>
      </c>
      <c r="AC6" s="54" t="s">
        <v>109</v>
      </c>
      <c r="AD6" s="52" t="s">
        <v>105</v>
      </c>
      <c r="AE6" s="52" t="s">
        <v>110</v>
      </c>
      <c r="AF6" s="52" t="s">
        <v>111</v>
      </c>
      <c r="AG6" s="52" t="s">
        <v>106</v>
      </c>
    </row>
    <row r="7" spans="1:34" s="7" customFormat="1" x14ac:dyDescent="0.2">
      <c r="A7" s="9" t="str">
        <f>IF(B7&lt;&gt;"",1," ")</f>
        <v xml:space="preserve"> </v>
      </c>
      <c r="B7" s="10"/>
      <c r="C7" s="18"/>
      <c r="D7" s="21" t="str">
        <f>IF(C7&lt;&gt;"",INDEX(Segédlet!$B$5:$B$37,MATCH(C7,Segédlet!$C$5:$C$37,0)),"")</f>
        <v/>
      </c>
      <c r="E7" s="19"/>
      <c r="F7" s="8"/>
      <c r="G7" s="5" t="str">
        <f>IF(B7&lt;&gt;"",E7+F7,"")</f>
        <v/>
      </c>
      <c r="H7" s="8" t="str">
        <f t="shared" ref="H7:H38" si="0">IF(B7&lt;&gt;"",0,"")</f>
        <v/>
      </c>
      <c r="I7" s="8" t="str">
        <f t="shared" ref="I7:I70" si="1">IF(B7&lt;&gt;"",0,"")</f>
        <v/>
      </c>
      <c r="J7" s="8" t="str">
        <f>IF(B7&lt;&gt;"",0,"")</f>
        <v/>
      </c>
      <c r="K7" s="8" t="str">
        <f t="shared" ref="K7:K71" si="2">IF(B7&lt;&gt;"",0,"")</f>
        <v/>
      </c>
      <c r="L7" s="8" t="str">
        <f>IF(B7&lt;&gt;"",0,"")</f>
        <v/>
      </c>
      <c r="M7" s="8" t="str">
        <f>IF(B7&lt;&gt;"",0,"")</f>
        <v/>
      </c>
      <c r="N7" s="11"/>
      <c r="O7" s="11" t="str">
        <f t="shared" ref="O7:O38" si="3">IF(B7&lt;&gt;"",0,"")</f>
        <v/>
      </c>
      <c r="P7" s="20"/>
      <c r="Q7" s="6" t="str">
        <f>IF(B7&lt;&gt;"",IF(AND(I7&gt;0,U7&gt;0),(N7+K7-I7)*VLOOKUP(P7,Segédlet!$I$5:$J$12,2,0),(N7+K7)*VLOOKUP(P7,Segédlet!$I$5:$J$12,2,0)),"")</f>
        <v/>
      </c>
      <c r="R7" s="6" t="str">
        <f>IF(B7&lt;&gt;"",IF((L7+M7)&lt;=14,(L7+M7)*K7*VLOOKUP(C7,Segédlet!$C$5:$G$37,4,0),K7*14*VLOOKUP(C7,Segédlet!$C$5:$G$37,4,0)+((L7+M7)-14)*K7*VLOOKUP(C7,Segédlet!$C$5:$G$37,5,0)),"")</f>
        <v/>
      </c>
      <c r="S7" s="6" t="str">
        <f>IF(B7&lt;&gt;"",IF(G7&lt;=14,G7*N7*VLOOKUP(C7,Segédlet!$C$5:$G$37,2,0),N7*14*VLOOKUP(C7,Segédlet!$C$5:$G$37,2,0)+(G7-14)*N7*VLOOKUP(C7,Segédlet!$C$5:$G$37,3,0)),"")</f>
        <v/>
      </c>
      <c r="T7" s="12" t="str">
        <f t="shared" ref="T7:T38" si="4">IF(B7&lt;&gt;"",0,"")</f>
        <v/>
      </c>
      <c r="U7" s="12" t="str">
        <f t="shared" ref="U7:U38" si="5">IF(B7&lt;&gt;"",0,"")</f>
        <v/>
      </c>
      <c r="V7" s="12" t="str">
        <f>IF(B7&lt;&gt;"",0,"")</f>
        <v/>
      </c>
      <c r="W7" s="12" t="str">
        <f t="shared" ref="W7:W38" si="6">IF(B7&lt;&gt;"",0,"")</f>
        <v/>
      </c>
      <c r="X7" s="51" t="str">
        <f t="shared" ref="X7:X38" si="7">IF(B7&lt;&gt;"",W7*150,"")</f>
        <v/>
      </c>
      <c r="Y7" s="22" t="str">
        <f t="shared" ref="Y7:Y38" si="8">IF(B7&lt;&gt;"",SUM(Q7:U7),"")</f>
        <v/>
      </c>
      <c r="Z7" s="126" t="str">
        <f>IF(B7&lt;&gt;"",IF(B7=Segédlet!$L$6,"Jogosult igényelni","Nem jogosult igényelni"),"")</f>
        <v/>
      </c>
      <c r="AA7" s="11" t="str">
        <f>IF(B7&lt;&gt;"",0,"")</f>
        <v/>
      </c>
      <c r="AB7" s="11" t="str">
        <f>IF(B7&lt;&gt;"",0,"")</f>
        <v/>
      </c>
      <c r="AC7" s="11" t="str">
        <f t="shared" ref="AC7:AC38" si="9">IF(B7&lt;&gt;"",0,"")</f>
        <v/>
      </c>
      <c r="AD7" s="11" t="str">
        <f t="shared" ref="AD7:AD38" si="10">IF(B7&lt;&gt;"",0,"")</f>
        <v/>
      </c>
      <c r="AE7" s="11" t="str">
        <f t="shared" ref="AE7:AE38" si="11">IF(B7&lt;&gt;"",0,"")</f>
        <v/>
      </c>
      <c r="AF7" s="11" t="str">
        <f t="shared" ref="AF7:AF38" si="12">IF(B7&lt;&gt;"",0,"")</f>
        <v/>
      </c>
      <c r="AG7" s="6" t="str">
        <f>IF(B7&lt;&gt;"",Segédlet!N3+Segédlet!O3+Segédlet!R3+AF7+AE7,"")</f>
        <v/>
      </c>
    </row>
    <row r="8" spans="1:34" s="7" customFormat="1" x14ac:dyDescent="0.2">
      <c r="A8" s="9" t="str">
        <f>IF(B8&lt;&gt;"",A7+1," ")</f>
        <v xml:space="preserve"> </v>
      </c>
      <c r="B8" s="10"/>
      <c r="C8" s="18"/>
      <c r="D8" s="21" t="str">
        <f>IF(C8&lt;&gt;"",INDEX(Segédlet!$B$5:$B$37,MATCH(C8,Segédlet!$C$5:$C$37,0)),"")</f>
        <v/>
      </c>
      <c r="E8" s="19"/>
      <c r="F8" s="8"/>
      <c r="G8" s="5" t="str">
        <f>IF(B8&lt;&gt;"",E8+F8,"")</f>
        <v/>
      </c>
      <c r="H8" s="8" t="str">
        <f t="shared" si="0"/>
        <v/>
      </c>
      <c r="I8" s="8" t="str">
        <f t="shared" si="1"/>
        <v/>
      </c>
      <c r="J8" s="8" t="str">
        <f t="shared" ref="J8:J71" si="13">IF(B8&lt;&gt;"",0,"")</f>
        <v/>
      </c>
      <c r="K8" s="8" t="str">
        <f t="shared" si="2"/>
        <v/>
      </c>
      <c r="L8" s="8" t="str">
        <f t="shared" ref="L8:L71" si="14">IF(B8&lt;&gt;"",0,"")</f>
        <v/>
      </c>
      <c r="M8" s="8" t="str">
        <f t="shared" ref="M8:M71" si="15">IF(B8&lt;&gt;"",0,"")</f>
        <v/>
      </c>
      <c r="N8" s="11"/>
      <c r="O8" s="11" t="str">
        <f t="shared" si="3"/>
        <v/>
      </c>
      <c r="P8" s="20"/>
      <c r="Q8" s="6" t="str">
        <f>IF(B8&lt;&gt;"",IF(AND(I8&gt;0,U8&gt;0),(N8+K8-I8)*VLOOKUP(P8,Segédlet!$I$5:$J$12,2,0),(N8+K8)*VLOOKUP(P8,Segédlet!$I$5:$J$12,2,0)),"")</f>
        <v/>
      </c>
      <c r="R8" s="6" t="str">
        <f>IF(B8&lt;&gt;"",IF((L8+M8)&lt;=14,(L8+M8)*K8*VLOOKUP(C8,Segédlet!$C$5:$G$37,4,0),K8*14*VLOOKUP(C8,Segédlet!$C$5:$G$37,4,0)+((L8+M8)-14)*K8*VLOOKUP(C8,Segédlet!$C$5:$G$37,5,0)),"")</f>
        <v/>
      </c>
      <c r="S8" s="6" t="str">
        <f>IF(B8&lt;&gt;"",IF(G8&lt;=14,G8*N8*VLOOKUP(C8,Segédlet!$C$5:$G$37,2,0),N8*14*VLOOKUP(C8,Segédlet!$C$5:$G$37,2,0)+(G8-14)*N8*VLOOKUP(C8,Segédlet!$C$5:$G$37,3,0)),"")</f>
        <v/>
      </c>
      <c r="T8" s="12" t="str">
        <f t="shared" si="4"/>
        <v/>
      </c>
      <c r="U8" s="12" t="str">
        <f t="shared" si="5"/>
        <v/>
      </c>
      <c r="V8" s="12" t="str">
        <f t="shared" ref="V8:V71" si="16">IF(B8&lt;&gt;"",0,"")</f>
        <v/>
      </c>
      <c r="W8" s="12" t="str">
        <f t="shared" si="6"/>
        <v/>
      </c>
      <c r="X8" s="51" t="str">
        <f t="shared" si="7"/>
        <v/>
      </c>
      <c r="Y8" s="22" t="str">
        <f t="shared" si="8"/>
        <v/>
      </c>
      <c r="Z8" s="126" t="str">
        <f>IF(B8&lt;&gt;"",IF(B8=Segédlet!$L$6,"Jogosult igényelni","Nem jogosult igényelni"),"")</f>
        <v/>
      </c>
      <c r="AA8" s="11" t="str">
        <f t="shared" ref="AA8:AA71" si="17">IF(B8&lt;&gt;"",0,"")</f>
        <v/>
      </c>
      <c r="AB8" s="11" t="str">
        <f t="shared" ref="AB8:AB71" si="18">IF(B8&lt;&gt;"",0,"")</f>
        <v/>
      </c>
      <c r="AC8" s="11" t="str">
        <f t="shared" si="9"/>
        <v/>
      </c>
      <c r="AD8" s="11" t="str">
        <f t="shared" si="10"/>
        <v/>
      </c>
      <c r="AE8" s="11" t="str">
        <f t="shared" si="11"/>
        <v/>
      </c>
      <c r="AF8" s="11" t="str">
        <f t="shared" si="12"/>
        <v/>
      </c>
      <c r="AG8" s="6" t="str">
        <f>IF(B8&lt;&gt;"",Segédlet!N4+Segédlet!O4+Segédlet!R4+AF8+AE8,"")</f>
        <v/>
      </c>
    </row>
    <row r="9" spans="1:34" s="7" customFormat="1" x14ac:dyDescent="0.2">
      <c r="A9" s="9" t="str">
        <f t="shared" ref="A9:A72" si="19">IF(B9&lt;&gt;"",A8+1," ")</f>
        <v xml:space="preserve"> </v>
      </c>
      <c r="B9" s="10"/>
      <c r="C9" s="18"/>
      <c r="D9" s="21" t="str">
        <f>IF(C9&lt;&gt;"",INDEX(Segédlet!$B$5:$B$37,MATCH(C9,Segédlet!$C$5:$C$37,0)),"")</f>
        <v/>
      </c>
      <c r="E9" s="19"/>
      <c r="F9" s="8"/>
      <c r="G9" s="5" t="str">
        <f t="shared" ref="G9:G38" si="20">IF(B9&lt;&gt;"",E9+F9,"")</f>
        <v/>
      </c>
      <c r="H9" s="8" t="str">
        <f t="shared" si="0"/>
        <v/>
      </c>
      <c r="I9" s="8" t="str">
        <f t="shared" si="1"/>
        <v/>
      </c>
      <c r="J9" s="8" t="str">
        <f t="shared" si="13"/>
        <v/>
      </c>
      <c r="K9" s="8" t="str">
        <f t="shared" si="2"/>
        <v/>
      </c>
      <c r="L9" s="8" t="str">
        <f t="shared" si="14"/>
        <v/>
      </c>
      <c r="M9" s="8" t="str">
        <f t="shared" si="15"/>
        <v/>
      </c>
      <c r="N9" s="11"/>
      <c r="O9" s="11" t="str">
        <f t="shared" si="3"/>
        <v/>
      </c>
      <c r="P9" s="20"/>
      <c r="Q9" s="6" t="str">
        <f>IF(B9&lt;&gt;"",IF(AND(I9&gt;0,U9&gt;0),(N9+K9-I9)*VLOOKUP(P9,Segédlet!$I$5:$J$12,2,0),(N9+K9)*VLOOKUP(P9,Segédlet!$I$5:$J$12,2,0)),"")</f>
        <v/>
      </c>
      <c r="R9" s="6" t="str">
        <f>IF(B9&lt;&gt;"",IF((L9+M9)&lt;=14,(L9+M9)*K9*VLOOKUP(C9,Segédlet!$C$5:$G$37,4,0),K9*14*VLOOKUP(C9,Segédlet!$C$5:$G$37,4,0)+((L9+M9)-14)*K9*VLOOKUP(C9,Segédlet!$C$5:$G$37,5,0)),"")</f>
        <v/>
      </c>
      <c r="S9" s="6" t="str">
        <f>IF(B9&lt;&gt;"",IF(G9&lt;=14,G9*N9*VLOOKUP(C9,Segédlet!$C$5:$G$37,2,0),N9*14*VLOOKUP(C9,Segédlet!$C$5:$G$37,2,0)+(G9-14)*N9*VLOOKUP(C9,Segédlet!$C$5:$G$37,3,0)),"")</f>
        <v/>
      </c>
      <c r="T9" s="12" t="str">
        <f t="shared" si="4"/>
        <v/>
      </c>
      <c r="U9" s="12" t="str">
        <f t="shared" si="5"/>
        <v/>
      </c>
      <c r="V9" s="12" t="str">
        <f t="shared" si="16"/>
        <v/>
      </c>
      <c r="W9" s="12" t="str">
        <f t="shared" si="6"/>
        <v/>
      </c>
      <c r="X9" s="51" t="str">
        <f t="shared" si="7"/>
        <v/>
      </c>
      <c r="Y9" s="22" t="str">
        <f t="shared" si="8"/>
        <v/>
      </c>
      <c r="Z9" s="126" t="str">
        <f>IF(B9&lt;&gt;"",IF(B9=Segédlet!$L$6,"Jogosult igényelni","Nem jogosult igényelni"),"")</f>
        <v/>
      </c>
      <c r="AA9" s="11" t="str">
        <f t="shared" si="17"/>
        <v/>
      </c>
      <c r="AB9" s="11" t="str">
        <f t="shared" si="18"/>
        <v/>
      </c>
      <c r="AC9" s="11" t="str">
        <f t="shared" si="9"/>
        <v/>
      </c>
      <c r="AD9" s="11" t="str">
        <f t="shared" si="10"/>
        <v/>
      </c>
      <c r="AE9" s="11" t="str">
        <f t="shared" si="11"/>
        <v/>
      </c>
      <c r="AF9" s="11" t="str">
        <f t="shared" si="12"/>
        <v/>
      </c>
      <c r="AG9" s="6" t="str">
        <f>IF(B9&lt;&gt;"",Segédlet!N5+Segédlet!O5+Segédlet!R5+AF9+AE9,"")</f>
        <v/>
      </c>
    </row>
    <row r="10" spans="1:34" s="7" customFormat="1" x14ac:dyDescent="0.2">
      <c r="A10" s="9" t="str">
        <f t="shared" si="19"/>
        <v xml:space="preserve"> </v>
      </c>
      <c r="B10" s="10"/>
      <c r="C10" s="18"/>
      <c r="D10" s="21" t="str">
        <f>IF(C10&lt;&gt;"",INDEX(Segédlet!$B$5:$B$37,MATCH(C10,Segédlet!$C$5:$C$37,0)),"")</f>
        <v/>
      </c>
      <c r="E10" s="19"/>
      <c r="F10" s="8"/>
      <c r="G10" s="5" t="str">
        <f t="shared" si="20"/>
        <v/>
      </c>
      <c r="H10" s="8" t="str">
        <f t="shared" si="0"/>
        <v/>
      </c>
      <c r="I10" s="8" t="str">
        <f t="shared" si="1"/>
        <v/>
      </c>
      <c r="J10" s="8" t="str">
        <f t="shared" si="13"/>
        <v/>
      </c>
      <c r="K10" s="8" t="str">
        <f t="shared" si="2"/>
        <v/>
      </c>
      <c r="L10" s="8" t="str">
        <f t="shared" si="14"/>
        <v/>
      </c>
      <c r="M10" s="8" t="str">
        <f t="shared" si="15"/>
        <v/>
      </c>
      <c r="N10" s="11"/>
      <c r="O10" s="11" t="str">
        <f t="shared" si="3"/>
        <v/>
      </c>
      <c r="P10" s="20"/>
      <c r="Q10" s="6" t="str">
        <f>IF(B10&lt;&gt;"",IF(AND(I10&gt;0,U10&gt;0),(N10+K10-I10)*VLOOKUP(P10,Segédlet!$I$5:$J$12,2,0),(N10+K10)*VLOOKUP(P10,Segédlet!$I$5:$J$12,2,0)),"")</f>
        <v/>
      </c>
      <c r="R10" s="6" t="str">
        <f>IF(B10&lt;&gt;"",IF((L10+M10)&lt;=14,(L10+M10)*K10*VLOOKUP(C10,Segédlet!$C$5:$G$37,4,0),K10*14*VLOOKUP(C10,Segédlet!$C$5:$G$37,4,0)+((L10+M10)-14)*K10*VLOOKUP(C10,Segédlet!$C$5:$G$37,5,0)),"")</f>
        <v/>
      </c>
      <c r="S10" s="6" t="str">
        <f>IF(B10&lt;&gt;"",IF(G10&lt;=14,G10*N10*VLOOKUP(C10,Segédlet!$C$5:$G$37,2,0),N10*14*VLOOKUP(C10,Segédlet!$C$5:$G$37,2,0)+(G10-14)*N10*VLOOKUP(C10,Segédlet!$C$5:$G$37,3,0)),"")</f>
        <v/>
      </c>
      <c r="T10" s="12" t="str">
        <f t="shared" si="4"/>
        <v/>
      </c>
      <c r="U10" s="12" t="str">
        <f t="shared" si="5"/>
        <v/>
      </c>
      <c r="V10" s="12" t="str">
        <f t="shared" si="16"/>
        <v/>
      </c>
      <c r="W10" s="12" t="str">
        <f t="shared" si="6"/>
        <v/>
      </c>
      <c r="X10" s="51" t="str">
        <f t="shared" si="7"/>
        <v/>
      </c>
      <c r="Y10" s="22" t="str">
        <f t="shared" si="8"/>
        <v/>
      </c>
      <c r="Z10" s="126" t="str">
        <f>IF(B10&lt;&gt;"",IF(B10=Segédlet!$L$6,"Jogosult igényelni","Nem jogosult igényelni"),"")</f>
        <v/>
      </c>
      <c r="AA10" s="11" t="str">
        <f t="shared" si="17"/>
        <v/>
      </c>
      <c r="AB10" s="11" t="str">
        <f t="shared" si="18"/>
        <v/>
      </c>
      <c r="AC10" s="11" t="str">
        <f t="shared" si="9"/>
        <v/>
      </c>
      <c r="AD10" s="11" t="str">
        <f t="shared" si="10"/>
        <v/>
      </c>
      <c r="AE10" s="11" t="str">
        <f t="shared" si="11"/>
        <v/>
      </c>
      <c r="AF10" s="11" t="str">
        <f t="shared" si="12"/>
        <v/>
      </c>
      <c r="AG10" s="6" t="str">
        <f>IF(B10&lt;&gt;"",Segédlet!N6+Segédlet!O6+Segédlet!R6+AF10+AE10,"")</f>
        <v/>
      </c>
    </row>
    <row r="11" spans="1:34" s="7" customFormat="1" x14ac:dyDescent="0.2">
      <c r="A11" s="9" t="str">
        <f t="shared" si="19"/>
        <v xml:space="preserve"> </v>
      </c>
      <c r="B11" s="10"/>
      <c r="C11" s="18"/>
      <c r="D11" s="21" t="str">
        <f>IF(C11&lt;&gt;"",INDEX(Segédlet!$B$5:$B$37,MATCH(C11,Segédlet!$C$5:$C$37,0)),"")</f>
        <v/>
      </c>
      <c r="E11" s="19"/>
      <c r="F11" s="8"/>
      <c r="G11" s="5" t="str">
        <f t="shared" si="20"/>
        <v/>
      </c>
      <c r="H11" s="8" t="str">
        <f t="shared" si="0"/>
        <v/>
      </c>
      <c r="I11" s="8" t="str">
        <f t="shared" si="1"/>
        <v/>
      </c>
      <c r="J11" s="8" t="str">
        <f t="shared" si="13"/>
        <v/>
      </c>
      <c r="K11" s="8" t="str">
        <f t="shared" si="2"/>
        <v/>
      </c>
      <c r="L11" s="8" t="str">
        <f t="shared" si="14"/>
        <v/>
      </c>
      <c r="M11" s="8" t="str">
        <f t="shared" si="15"/>
        <v/>
      </c>
      <c r="N11" s="11"/>
      <c r="O11" s="11" t="str">
        <f t="shared" si="3"/>
        <v/>
      </c>
      <c r="P11" s="20"/>
      <c r="Q11" s="6" t="str">
        <f>IF(B11&lt;&gt;"",IF(AND(I11&gt;0,U11&gt;0),(N11+K11-I11)*VLOOKUP(P11,Segédlet!$I$5:$J$12,2,0),(N11+K11)*VLOOKUP(P11,Segédlet!$I$5:$J$12,2,0)),"")</f>
        <v/>
      </c>
      <c r="R11" s="6" t="str">
        <f>IF(B11&lt;&gt;"",IF((L11+M11)&lt;=14,(L11+M11)*K11*VLOOKUP(C11,Segédlet!$C$5:$G$37,4,0),K11*14*VLOOKUP(C11,Segédlet!$C$5:$G$37,4,0)+((L11+M11)-14)*K11*VLOOKUP(C11,Segédlet!$C$5:$G$37,5,0)),"")</f>
        <v/>
      </c>
      <c r="S11" s="6" t="str">
        <f>IF(B11&lt;&gt;"",IF(G11&lt;=14,G11*N11*VLOOKUP(C11,Segédlet!$C$5:$G$37,2,0),N11*14*VLOOKUP(C11,Segédlet!$C$5:$G$37,2,0)+(G11-14)*N11*VLOOKUP(C11,Segédlet!$C$5:$G$37,3,0)),"")</f>
        <v/>
      </c>
      <c r="T11" s="12" t="str">
        <f t="shared" si="4"/>
        <v/>
      </c>
      <c r="U11" s="12" t="str">
        <f t="shared" si="5"/>
        <v/>
      </c>
      <c r="V11" s="12" t="str">
        <f t="shared" si="16"/>
        <v/>
      </c>
      <c r="W11" s="12" t="str">
        <f t="shared" si="6"/>
        <v/>
      </c>
      <c r="X11" s="51" t="str">
        <f t="shared" si="7"/>
        <v/>
      </c>
      <c r="Y11" s="22" t="str">
        <f t="shared" si="8"/>
        <v/>
      </c>
      <c r="Z11" s="126" t="str">
        <f>IF(B11&lt;&gt;"",IF(B11=Segédlet!$L$6,"Jogosult igényelni","Nem jogosult igényelni"),"")</f>
        <v/>
      </c>
      <c r="AA11" s="11" t="str">
        <f t="shared" si="17"/>
        <v/>
      </c>
      <c r="AB11" s="11" t="str">
        <f t="shared" si="18"/>
        <v/>
      </c>
      <c r="AC11" s="11" t="str">
        <f t="shared" si="9"/>
        <v/>
      </c>
      <c r="AD11" s="11" t="str">
        <f t="shared" si="10"/>
        <v/>
      </c>
      <c r="AE11" s="11" t="str">
        <f t="shared" si="11"/>
        <v/>
      </c>
      <c r="AF11" s="11" t="str">
        <f t="shared" si="12"/>
        <v/>
      </c>
      <c r="AG11" s="6" t="str">
        <f>IF(B11&lt;&gt;"",Segédlet!N7+Segédlet!O7+Segédlet!R7+AF11+AE11,"")</f>
        <v/>
      </c>
    </row>
    <row r="12" spans="1:34" s="7" customFormat="1" x14ac:dyDescent="0.2">
      <c r="A12" s="9" t="str">
        <f t="shared" si="19"/>
        <v xml:space="preserve"> </v>
      </c>
      <c r="B12" s="10"/>
      <c r="C12" s="18"/>
      <c r="D12" s="21" t="str">
        <f>IF(C12&lt;&gt;"",INDEX(Segédlet!$B$5:$B$37,MATCH(C12,Segédlet!$C$5:$C$37,0)),"")</f>
        <v/>
      </c>
      <c r="E12" s="19"/>
      <c r="F12" s="8"/>
      <c r="G12" s="5" t="str">
        <f t="shared" si="20"/>
        <v/>
      </c>
      <c r="H12" s="8" t="str">
        <f t="shared" si="0"/>
        <v/>
      </c>
      <c r="I12" s="8" t="str">
        <f t="shared" si="1"/>
        <v/>
      </c>
      <c r="J12" s="8" t="str">
        <f t="shared" si="13"/>
        <v/>
      </c>
      <c r="K12" s="8" t="str">
        <f t="shared" si="2"/>
        <v/>
      </c>
      <c r="L12" s="8" t="str">
        <f t="shared" si="14"/>
        <v/>
      </c>
      <c r="M12" s="8" t="str">
        <f t="shared" si="15"/>
        <v/>
      </c>
      <c r="N12" s="11"/>
      <c r="O12" s="11" t="str">
        <f t="shared" si="3"/>
        <v/>
      </c>
      <c r="P12" s="20"/>
      <c r="Q12" s="6" t="str">
        <f>IF(B12&lt;&gt;"",IF(AND(I12&gt;0,U12&gt;0),(N12+K12-I12)*VLOOKUP(P12,Segédlet!$I$5:$J$12,2,0),(N12+K12)*VLOOKUP(P12,Segédlet!$I$5:$J$12,2,0)),"")</f>
        <v/>
      </c>
      <c r="R12" s="6" t="str">
        <f>IF(B12&lt;&gt;"",IF((L12+M12)&lt;=14,(L12+M12)*K12*VLOOKUP(C12,Segédlet!$C$5:$G$37,4,0),K12*14*VLOOKUP(C12,Segédlet!$C$5:$G$37,4,0)+((L12+M12)-14)*K12*VLOOKUP(C12,Segédlet!$C$5:$G$37,5,0)),"")</f>
        <v/>
      </c>
      <c r="S12" s="6" t="str">
        <f>IF(B12&lt;&gt;"",IF(G12&lt;=14,G12*N12*VLOOKUP(C12,Segédlet!$C$5:$G$37,2,0),N12*14*VLOOKUP(C12,Segédlet!$C$5:$G$37,2,0)+(G12-14)*N12*VLOOKUP(C12,Segédlet!$C$5:$G$37,3,0)),"")</f>
        <v/>
      </c>
      <c r="T12" s="12" t="str">
        <f t="shared" si="4"/>
        <v/>
      </c>
      <c r="U12" s="12" t="str">
        <f t="shared" si="5"/>
        <v/>
      </c>
      <c r="V12" s="12" t="str">
        <f t="shared" si="16"/>
        <v/>
      </c>
      <c r="W12" s="12" t="str">
        <f t="shared" si="6"/>
        <v/>
      </c>
      <c r="X12" s="51" t="str">
        <f t="shared" si="7"/>
        <v/>
      </c>
      <c r="Y12" s="22" t="str">
        <f t="shared" si="8"/>
        <v/>
      </c>
      <c r="Z12" s="126" t="str">
        <f>IF(B12&lt;&gt;"",IF(B12=Segédlet!$L$6,"Jogosult igényelni","Nem jogosult igényelni"),"")</f>
        <v/>
      </c>
      <c r="AA12" s="11" t="str">
        <f t="shared" si="17"/>
        <v/>
      </c>
      <c r="AB12" s="11" t="str">
        <f t="shared" si="18"/>
        <v/>
      </c>
      <c r="AC12" s="11" t="str">
        <f t="shared" si="9"/>
        <v/>
      </c>
      <c r="AD12" s="11" t="str">
        <f t="shared" si="10"/>
        <v/>
      </c>
      <c r="AE12" s="11" t="str">
        <f t="shared" si="11"/>
        <v/>
      </c>
      <c r="AF12" s="11" t="str">
        <f t="shared" si="12"/>
        <v/>
      </c>
      <c r="AG12" s="6" t="str">
        <f>IF(B12&lt;&gt;"",Segédlet!N8+Segédlet!O8+Segédlet!R8+AF12+AE12,"")</f>
        <v/>
      </c>
    </row>
    <row r="13" spans="1:34" s="7" customFormat="1" x14ac:dyDescent="0.2">
      <c r="A13" s="9" t="str">
        <f t="shared" si="19"/>
        <v xml:space="preserve"> </v>
      </c>
      <c r="B13" s="10"/>
      <c r="C13" s="18"/>
      <c r="D13" s="21" t="str">
        <f>IF(C13&lt;&gt;"",INDEX(Segédlet!$B$5:$B$37,MATCH(C13,Segédlet!$C$5:$C$37,0)),"")</f>
        <v/>
      </c>
      <c r="E13" s="19"/>
      <c r="F13" s="8"/>
      <c r="G13" s="5" t="str">
        <f t="shared" si="20"/>
        <v/>
      </c>
      <c r="H13" s="8" t="str">
        <f t="shared" si="0"/>
        <v/>
      </c>
      <c r="I13" s="8" t="str">
        <f t="shared" si="1"/>
        <v/>
      </c>
      <c r="J13" s="8" t="str">
        <f t="shared" si="13"/>
        <v/>
      </c>
      <c r="K13" s="8" t="str">
        <f t="shared" si="2"/>
        <v/>
      </c>
      <c r="L13" s="8" t="str">
        <f t="shared" si="14"/>
        <v/>
      </c>
      <c r="M13" s="8" t="str">
        <f t="shared" si="15"/>
        <v/>
      </c>
      <c r="N13" s="11"/>
      <c r="O13" s="11" t="str">
        <f t="shared" si="3"/>
        <v/>
      </c>
      <c r="P13" s="20"/>
      <c r="Q13" s="6" t="str">
        <f>IF(B13&lt;&gt;"",IF(AND(I13&gt;0,U13&gt;0),(N13+K13-I13)*VLOOKUP(P13,Segédlet!$I$5:$J$12,2,0),(N13+K13)*VLOOKUP(P13,Segédlet!$I$5:$J$12,2,0)),"")</f>
        <v/>
      </c>
      <c r="R13" s="6" t="str">
        <f>IF(B13&lt;&gt;"",IF((L13+M13)&lt;=14,(L13+M13)*K13*VLOOKUP(C13,Segédlet!$C$5:$G$37,4,0),K13*14*VLOOKUP(C13,Segédlet!$C$5:$G$37,4,0)+((L13+M13)-14)*K13*VLOOKUP(C13,Segédlet!$C$5:$G$37,5,0)),"")</f>
        <v/>
      </c>
      <c r="S13" s="6" t="str">
        <f>IF(B13&lt;&gt;"",IF(G13&lt;=14,G13*N13*VLOOKUP(C13,Segédlet!$C$5:$G$37,2,0),N13*14*VLOOKUP(C13,Segédlet!$C$5:$G$37,2,0)+(G13-14)*N13*VLOOKUP(C13,Segédlet!$C$5:$G$37,3,0)),"")</f>
        <v/>
      </c>
      <c r="T13" s="12" t="str">
        <f t="shared" si="4"/>
        <v/>
      </c>
      <c r="U13" s="12" t="str">
        <f t="shared" si="5"/>
        <v/>
      </c>
      <c r="V13" s="12" t="str">
        <f t="shared" si="16"/>
        <v/>
      </c>
      <c r="W13" s="12" t="str">
        <f t="shared" si="6"/>
        <v/>
      </c>
      <c r="X13" s="51" t="str">
        <f t="shared" si="7"/>
        <v/>
      </c>
      <c r="Y13" s="22" t="str">
        <f t="shared" si="8"/>
        <v/>
      </c>
      <c r="Z13" s="126" t="str">
        <f>IF(B13&lt;&gt;"",IF(B13=Segédlet!$L$6,"Jogosult igényelni","Nem jogosult igényelni"),"")</f>
        <v/>
      </c>
      <c r="AA13" s="11" t="str">
        <f t="shared" si="17"/>
        <v/>
      </c>
      <c r="AB13" s="11" t="str">
        <f t="shared" si="18"/>
        <v/>
      </c>
      <c r="AC13" s="11" t="str">
        <f t="shared" si="9"/>
        <v/>
      </c>
      <c r="AD13" s="11" t="str">
        <f t="shared" si="10"/>
        <v/>
      </c>
      <c r="AE13" s="11" t="str">
        <f t="shared" si="11"/>
        <v/>
      </c>
      <c r="AF13" s="11" t="str">
        <f t="shared" si="12"/>
        <v/>
      </c>
      <c r="AG13" s="6" t="str">
        <f>IF(B13&lt;&gt;"",Segédlet!N9+Segédlet!O9+Segédlet!R9+AF13+AE13,"")</f>
        <v/>
      </c>
      <c r="AH13" s="55"/>
    </row>
    <row r="14" spans="1:34" s="7" customFormat="1" x14ac:dyDescent="0.2">
      <c r="A14" s="9" t="str">
        <f t="shared" si="19"/>
        <v xml:space="preserve"> </v>
      </c>
      <c r="B14" s="10"/>
      <c r="C14" s="18"/>
      <c r="D14" s="21" t="str">
        <f>IF(C14&lt;&gt;"",INDEX(Segédlet!$B$5:$B$37,MATCH(C14,Segédlet!$C$5:$C$37,0)),"")</f>
        <v/>
      </c>
      <c r="E14" s="19"/>
      <c r="F14" s="8"/>
      <c r="G14" s="5" t="str">
        <f t="shared" si="20"/>
        <v/>
      </c>
      <c r="H14" s="8" t="str">
        <f t="shared" si="0"/>
        <v/>
      </c>
      <c r="I14" s="8" t="str">
        <f t="shared" si="1"/>
        <v/>
      </c>
      <c r="J14" s="8" t="str">
        <f t="shared" si="13"/>
        <v/>
      </c>
      <c r="K14" s="8" t="str">
        <f t="shared" si="2"/>
        <v/>
      </c>
      <c r="L14" s="8" t="str">
        <f t="shared" si="14"/>
        <v/>
      </c>
      <c r="M14" s="8" t="str">
        <f t="shared" si="15"/>
        <v/>
      </c>
      <c r="N14" s="11"/>
      <c r="O14" s="11" t="str">
        <f t="shared" si="3"/>
        <v/>
      </c>
      <c r="P14" s="20"/>
      <c r="Q14" s="6" t="str">
        <f>IF(B14&lt;&gt;"",IF(AND(I14&gt;0,U14&gt;0),(N14+K14-I14)*VLOOKUP(P14,Segédlet!$I$5:$J$12,2,0),(N14+K14)*VLOOKUP(P14,Segédlet!$I$5:$J$12,2,0)),"")</f>
        <v/>
      </c>
      <c r="R14" s="6" t="str">
        <f>IF(B14&lt;&gt;"",IF((L14+M14)&lt;=14,(L14+M14)*K14*VLOOKUP(C14,Segédlet!$C$5:$G$37,4,0),K14*14*VLOOKUP(C14,Segédlet!$C$5:$G$37,4,0)+((L14+M14)-14)*K14*VLOOKUP(C14,Segédlet!$C$5:$G$37,5,0)),"")</f>
        <v/>
      </c>
      <c r="S14" s="6" t="str">
        <f>IF(B14&lt;&gt;"",IF(G14&lt;=14,G14*N14*VLOOKUP(C14,Segédlet!$C$5:$G$37,2,0),N14*14*VLOOKUP(C14,Segédlet!$C$5:$G$37,2,0)+(G14-14)*N14*VLOOKUP(C14,Segédlet!$C$5:$G$37,3,0)),"")</f>
        <v/>
      </c>
      <c r="T14" s="12" t="str">
        <f t="shared" si="4"/>
        <v/>
      </c>
      <c r="U14" s="12" t="str">
        <f t="shared" si="5"/>
        <v/>
      </c>
      <c r="V14" s="12" t="str">
        <f t="shared" si="16"/>
        <v/>
      </c>
      <c r="W14" s="12" t="str">
        <f t="shared" si="6"/>
        <v/>
      </c>
      <c r="X14" s="51" t="str">
        <f t="shared" si="7"/>
        <v/>
      </c>
      <c r="Y14" s="22" t="str">
        <f t="shared" si="8"/>
        <v/>
      </c>
      <c r="Z14" s="126" t="str">
        <f>IF(B14&lt;&gt;"",IF(B14=Segédlet!$L$6,"Jogosult igényelni","Nem jogosult igényelni"),"")</f>
        <v/>
      </c>
      <c r="AA14" s="11" t="str">
        <f t="shared" si="17"/>
        <v/>
      </c>
      <c r="AB14" s="11" t="str">
        <f t="shared" si="18"/>
        <v/>
      </c>
      <c r="AC14" s="11" t="str">
        <f t="shared" si="9"/>
        <v/>
      </c>
      <c r="AD14" s="11" t="str">
        <f t="shared" si="10"/>
        <v/>
      </c>
      <c r="AE14" s="11" t="str">
        <f t="shared" si="11"/>
        <v/>
      </c>
      <c r="AF14" s="11" t="str">
        <f t="shared" si="12"/>
        <v/>
      </c>
      <c r="AG14" s="6" t="str">
        <f>IF(B14&lt;&gt;"",Segédlet!N10+Segédlet!O10+Segédlet!R10+AF14+AE14,"")</f>
        <v/>
      </c>
    </row>
    <row r="15" spans="1:34" s="7" customFormat="1" x14ac:dyDescent="0.2">
      <c r="A15" s="9" t="str">
        <f t="shared" si="19"/>
        <v xml:space="preserve"> </v>
      </c>
      <c r="B15" s="10"/>
      <c r="C15" s="18"/>
      <c r="D15" s="21" t="str">
        <f>IF(C15&lt;&gt;"",INDEX(Segédlet!$B$5:$B$37,MATCH(C15,Segédlet!$C$5:$C$37,0)),"")</f>
        <v/>
      </c>
      <c r="E15" s="19"/>
      <c r="F15" s="8"/>
      <c r="G15" s="5" t="str">
        <f t="shared" si="20"/>
        <v/>
      </c>
      <c r="H15" s="8" t="str">
        <f t="shared" si="0"/>
        <v/>
      </c>
      <c r="I15" s="8" t="str">
        <f t="shared" si="1"/>
        <v/>
      </c>
      <c r="J15" s="8" t="str">
        <f t="shared" si="13"/>
        <v/>
      </c>
      <c r="K15" s="8" t="str">
        <f t="shared" si="2"/>
        <v/>
      </c>
      <c r="L15" s="8" t="str">
        <f t="shared" si="14"/>
        <v/>
      </c>
      <c r="M15" s="8" t="str">
        <f t="shared" si="15"/>
        <v/>
      </c>
      <c r="N15" s="11"/>
      <c r="O15" s="11" t="str">
        <f t="shared" si="3"/>
        <v/>
      </c>
      <c r="P15" s="20"/>
      <c r="Q15" s="6" t="str">
        <f>IF(B15&lt;&gt;"",IF(AND(I15&gt;0,U15&gt;0),(N15+K15-I15)*VLOOKUP(P15,Segédlet!$I$5:$J$12,2,0),(N15+K15)*VLOOKUP(P15,Segédlet!$I$5:$J$12,2,0)),"")</f>
        <v/>
      </c>
      <c r="R15" s="6" t="str">
        <f>IF(B15&lt;&gt;"",IF((L15+M15)&lt;=14,(L15+M15)*K15*VLOOKUP(C15,Segédlet!$C$5:$G$37,4,0),K15*14*VLOOKUP(C15,Segédlet!$C$5:$G$37,4,0)+((L15+M15)-14)*K15*VLOOKUP(C15,Segédlet!$C$5:$G$37,5,0)),"")</f>
        <v/>
      </c>
      <c r="S15" s="6" t="str">
        <f>IF(B15&lt;&gt;"",IF(G15&lt;=14,G15*N15*VLOOKUP(C15,Segédlet!$C$5:$G$37,2,0),N15*14*VLOOKUP(C15,Segédlet!$C$5:$G$37,2,0)+(G15-14)*N15*VLOOKUP(C15,Segédlet!$C$5:$G$37,3,0)),"")</f>
        <v/>
      </c>
      <c r="T15" s="12" t="str">
        <f t="shared" si="4"/>
        <v/>
      </c>
      <c r="U15" s="12" t="str">
        <f t="shared" si="5"/>
        <v/>
      </c>
      <c r="V15" s="12" t="str">
        <f t="shared" si="16"/>
        <v/>
      </c>
      <c r="W15" s="12" t="str">
        <f t="shared" si="6"/>
        <v/>
      </c>
      <c r="X15" s="51" t="str">
        <f t="shared" si="7"/>
        <v/>
      </c>
      <c r="Y15" s="22" t="str">
        <f t="shared" si="8"/>
        <v/>
      </c>
      <c r="Z15" s="126" t="str">
        <f>IF(B15&lt;&gt;"",IF(B15=Segédlet!$L$6,"Jogosult igényelni","Nem jogosult igényelni"),"")</f>
        <v/>
      </c>
      <c r="AA15" s="11" t="str">
        <f t="shared" si="17"/>
        <v/>
      </c>
      <c r="AB15" s="11" t="str">
        <f t="shared" si="18"/>
        <v/>
      </c>
      <c r="AC15" s="11" t="str">
        <f t="shared" si="9"/>
        <v/>
      </c>
      <c r="AD15" s="11" t="str">
        <f t="shared" si="10"/>
        <v/>
      </c>
      <c r="AE15" s="11" t="str">
        <f t="shared" si="11"/>
        <v/>
      </c>
      <c r="AF15" s="11" t="str">
        <f t="shared" si="12"/>
        <v/>
      </c>
      <c r="AG15" s="6" t="str">
        <f>IF(B15&lt;&gt;"",Segédlet!N11+Segédlet!O11+Segédlet!R11+AF15+AE15,"")</f>
        <v/>
      </c>
    </row>
    <row r="16" spans="1:34" s="7" customFormat="1" x14ac:dyDescent="0.2">
      <c r="A16" s="9" t="str">
        <f t="shared" si="19"/>
        <v xml:space="preserve"> </v>
      </c>
      <c r="B16" s="10"/>
      <c r="C16" s="18"/>
      <c r="D16" s="21" t="str">
        <f>IF(C16&lt;&gt;"",INDEX(Segédlet!$B$5:$B$37,MATCH(C16,Segédlet!$C$5:$C$37,0)),"")</f>
        <v/>
      </c>
      <c r="E16" s="19"/>
      <c r="F16" s="8"/>
      <c r="G16" s="5" t="str">
        <f t="shared" si="20"/>
        <v/>
      </c>
      <c r="H16" s="8" t="str">
        <f t="shared" si="0"/>
        <v/>
      </c>
      <c r="I16" s="8" t="str">
        <f t="shared" si="1"/>
        <v/>
      </c>
      <c r="J16" s="8" t="str">
        <f t="shared" si="13"/>
        <v/>
      </c>
      <c r="K16" s="8" t="str">
        <f t="shared" si="2"/>
        <v/>
      </c>
      <c r="L16" s="8" t="str">
        <f t="shared" si="14"/>
        <v/>
      </c>
      <c r="M16" s="8" t="str">
        <f t="shared" si="15"/>
        <v/>
      </c>
      <c r="N16" s="11"/>
      <c r="O16" s="11" t="str">
        <f t="shared" si="3"/>
        <v/>
      </c>
      <c r="P16" s="20"/>
      <c r="Q16" s="6" t="str">
        <f>IF(B16&lt;&gt;"",IF(AND(I16&gt;0,U16&gt;0),(N16+K16-I16)*VLOOKUP(P16,Segédlet!$I$5:$J$12,2,0),(N16+K16)*VLOOKUP(P16,Segédlet!$I$5:$J$12,2,0)),"")</f>
        <v/>
      </c>
      <c r="R16" s="6" t="str">
        <f>IF(B16&lt;&gt;"",IF((L16+M16)&lt;=14,(L16+M16)*K16*VLOOKUP(C16,Segédlet!$C$5:$G$37,4,0),K16*14*VLOOKUP(C16,Segédlet!$C$5:$G$37,4,0)+((L16+M16)-14)*K16*VLOOKUP(C16,Segédlet!$C$5:$G$37,5,0)),"")</f>
        <v/>
      </c>
      <c r="S16" s="6" t="str">
        <f>IF(B16&lt;&gt;"",IF(G16&lt;=14,G16*N16*VLOOKUP(C16,Segédlet!$C$5:$G$37,2,0),N16*14*VLOOKUP(C16,Segédlet!$C$5:$G$37,2,0)+(G16-14)*N16*VLOOKUP(C16,Segédlet!$C$5:$G$37,3,0)),"")</f>
        <v/>
      </c>
      <c r="T16" s="12" t="str">
        <f t="shared" si="4"/>
        <v/>
      </c>
      <c r="U16" s="12" t="str">
        <f t="shared" si="5"/>
        <v/>
      </c>
      <c r="V16" s="12" t="str">
        <f t="shared" si="16"/>
        <v/>
      </c>
      <c r="W16" s="12" t="str">
        <f t="shared" si="6"/>
        <v/>
      </c>
      <c r="X16" s="51" t="str">
        <f t="shared" si="7"/>
        <v/>
      </c>
      <c r="Y16" s="22" t="str">
        <f t="shared" si="8"/>
        <v/>
      </c>
      <c r="Z16" s="126" t="str">
        <f>IF(B16&lt;&gt;"",IF(B16=Segédlet!$L$6,"Jogosult igényelni","Nem jogosult igényelni"),"")</f>
        <v/>
      </c>
      <c r="AA16" s="11" t="str">
        <f t="shared" si="17"/>
        <v/>
      </c>
      <c r="AB16" s="11" t="str">
        <f t="shared" si="18"/>
        <v/>
      </c>
      <c r="AC16" s="11" t="str">
        <f t="shared" si="9"/>
        <v/>
      </c>
      <c r="AD16" s="11" t="str">
        <f t="shared" si="10"/>
        <v/>
      </c>
      <c r="AE16" s="11" t="str">
        <f t="shared" si="11"/>
        <v/>
      </c>
      <c r="AF16" s="11" t="str">
        <f t="shared" si="12"/>
        <v/>
      </c>
      <c r="AG16" s="6" t="str">
        <f>IF(B16&lt;&gt;"",Segédlet!N12+Segédlet!O12+Segédlet!R12+AF16+AE16,"")</f>
        <v/>
      </c>
    </row>
    <row r="17" spans="1:33" s="7" customFormat="1" x14ac:dyDescent="0.2">
      <c r="A17" s="9" t="str">
        <f t="shared" si="19"/>
        <v xml:space="preserve"> </v>
      </c>
      <c r="B17" s="10"/>
      <c r="C17" s="18"/>
      <c r="D17" s="21" t="str">
        <f>IF(C17&lt;&gt;"",INDEX(Segédlet!$B$5:$B$37,MATCH(C17,Segédlet!$C$5:$C$37,0)),"")</f>
        <v/>
      </c>
      <c r="E17" s="19"/>
      <c r="F17" s="8"/>
      <c r="G17" s="5" t="str">
        <f t="shared" si="20"/>
        <v/>
      </c>
      <c r="H17" s="8" t="str">
        <f t="shared" si="0"/>
        <v/>
      </c>
      <c r="I17" s="8" t="str">
        <f t="shared" si="1"/>
        <v/>
      </c>
      <c r="J17" s="8" t="str">
        <f t="shared" si="13"/>
        <v/>
      </c>
      <c r="K17" s="8" t="str">
        <f t="shared" si="2"/>
        <v/>
      </c>
      <c r="L17" s="8" t="str">
        <f t="shared" si="14"/>
        <v/>
      </c>
      <c r="M17" s="8" t="str">
        <f t="shared" si="15"/>
        <v/>
      </c>
      <c r="N17" s="11"/>
      <c r="O17" s="11" t="str">
        <f t="shared" si="3"/>
        <v/>
      </c>
      <c r="P17" s="20"/>
      <c r="Q17" s="6" t="str">
        <f>IF(B17&lt;&gt;"",IF(AND(I17&gt;0,U17&gt;0),(N17+K17-I17)*VLOOKUP(P17,Segédlet!$I$5:$J$12,2,0),(N17+K17)*VLOOKUP(P17,Segédlet!$I$5:$J$12,2,0)),"")</f>
        <v/>
      </c>
      <c r="R17" s="6" t="str">
        <f>IF(B17&lt;&gt;"",IF((L17+M17)&lt;=14,(L17+M17)*K17*VLOOKUP(C17,Segédlet!$C$5:$G$37,4,0),K17*14*VLOOKUP(C17,Segédlet!$C$5:$G$37,4,0)+((L17+M17)-14)*K17*VLOOKUP(C17,Segédlet!$C$5:$G$37,5,0)),"")</f>
        <v/>
      </c>
      <c r="S17" s="6" t="str">
        <f>IF(B17&lt;&gt;"",IF(G17&lt;=14,G17*N17*VLOOKUP(C17,Segédlet!$C$5:$G$37,2,0),N17*14*VLOOKUP(C17,Segédlet!$C$5:$G$37,2,0)+(G17-14)*N17*VLOOKUP(C17,Segédlet!$C$5:$G$37,3,0)),"")</f>
        <v/>
      </c>
      <c r="T17" s="12" t="str">
        <f t="shared" si="4"/>
        <v/>
      </c>
      <c r="U17" s="12" t="str">
        <f t="shared" si="5"/>
        <v/>
      </c>
      <c r="V17" s="12" t="str">
        <f t="shared" si="16"/>
        <v/>
      </c>
      <c r="W17" s="12" t="str">
        <f t="shared" si="6"/>
        <v/>
      </c>
      <c r="X17" s="51" t="str">
        <f t="shared" si="7"/>
        <v/>
      </c>
      <c r="Y17" s="22" t="str">
        <f t="shared" si="8"/>
        <v/>
      </c>
      <c r="Z17" s="126" t="str">
        <f>IF(B17&lt;&gt;"",IF(B17=Segédlet!$L$6,"Jogosult igényelni","Nem jogosult igényelni"),"")</f>
        <v/>
      </c>
      <c r="AA17" s="11" t="str">
        <f t="shared" si="17"/>
        <v/>
      </c>
      <c r="AB17" s="11" t="str">
        <f t="shared" si="18"/>
        <v/>
      </c>
      <c r="AC17" s="11" t="str">
        <f t="shared" si="9"/>
        <v/>
      </c>
      <c r="AD17" s="11" t="str">
        <f t="shared" si="10"/>
        <v/>
      </c>
      <c r="AE17" s="11" t="str">
        <f t="shared" si="11"/>
        <v/>
      </c>
      <c r="AF17" s="11" t="str">
        <f t="shared" si="12"/>
        <v/>
      </c>
      <c r="AG17" s="6" t="str">
        <f>IF(B17&lt;&gt;"",Segédlet!N13+Segédlet!O13+Segédlet!R13+AF17+AE17,"")</f>
        <v/>
      </c>
    </row>
    <row r="18" spans="1:33" s="7" customFormat="1" x14ac:dyDescent="0.2">
      <c r="A18" s="9" t="str">
        <f t="shared" si="19"/>
        <v xml:space="preserve"> </v>
      </c>
      <c r="B18" s="10"/>
      <c r="C18" s="18"/>
      <c r="D18" s="21" t="str">
        <f>IF(C18&lt;&gt;"",INDEX(Segédlet!$B$5:$B$37,MATCH(C18,Segédlet!$C$5:$C$37,0)),"")</f>
        <v/>
      </c>
      <c r="E18" s="19"/>
      <c r="F18" s="8"/>
      <c r="G18" s="5" t="str">
        <f t="shared" si="20"/>
        <v/>
      </c>
      <c r="H18" s="8" t="str">
        <f t="shared" si="0"/>
        <v/>
      </c>
      <c r="I18" s="8" t="str">
        <f t="shared" si="1"/>
        <v/>
      </c>
      <c r="J18" s="8" t="str">
        <f t="shared" si="13"/>
        <v/>
      </c>
      <c r="K18" s="8" t="str">
        <f t="shared" si="2"/>
        <v/>
      </c>
      <c r="L18" s="8" t="str">
        <f t="shared" si="14"/>
        <v/>
      </c>
      <c r="M18" s="8" t="str">
        <f t="shared" si="15"/>
        <v/>
      </c>
      <c r="N18" s="11"/>
      <c r="O18" s="11" t="str">
        <f t="shared" si="3"/>
        <v/>
      </c>
      <c r="P18" s="20"/>
      <c r="Q18" s="6" t="str">
        <f>IF(B18&lt;&gt;"",IF(AND(I18&gt;0,U18&gt;0),(N18+K18-I18)*VLOOKUP(P18,Segédlet!$I$5:$J$12,2,0),(N18+K18)*VLOOKUP(P18,Segédlet!$I$5:$J$12,2,0)),"")</f>
        <v/>
      </c>
      <c r="R18" s="6" t="str">
        <f>IF(B18&lt;&gt;"",IF((L18+M18)&lt;=14,(L18+M18)*K18*VLOOKUP(C18,Segédlet!$C$5:$G$37,4,0),K18*14*VLOOKUP(C18,Segédlet!$C$5:$G$37,4,0)+((L18+M18)-14)*K18*VLOOKUP(C18,Segédlet!$C$5:$G$37,5,0)),"")</f>
        <v/>
      </c>
      <c r="S18" s="6" t="str">
        <f>IF(B18&lt;&gt;"",IF(G18&lt;=14,G18*N18*VLOOKUP(C18,Segédlet!$C$5:$G$37,2,0),N18*14*VLOOKUP(C18,Segédlet!$C$5:$G$37,2,0)+(G18-14)*N18*VLOOKUP(C18,Segédlet!$C$5:$G$37,3,0)),"")</f>
        <v/>
      </c>
      <c r="T18" s="12" t="str">
        <f t="shared" si="4"/>
        <v/>
      </c>
      <c r="U18" s="12" t="str">
        <f t="shared" si="5"/>
        <v/>
      </c>
      <c r="V18" s="12" t="str">
        <f t="shared" si="16"/>
        <v/>
      </c>
      <c r="W18" s="12" t="str">
        <f t="shared" si="6"/>
        <v/>
      </c>
      <c r="X18" s="51" t="str">
        <f t="shared" si="7"/>
        <v/>
      </c>
      <c r="Y18" s="22" t="str">
        <f t="shared" si="8"/>
        <v/>
      </c>
      <c r="Z18" s="126" t="str">
        <f>IF(B18&lt;&gt;"",IF(B18=Segédlet!$L$6,"Jogosult igényelni","Nem jogosult igényelni"),"")</f>
        <v/>
      </c>
      <c r="AA18" s="11" t="str">
        <f t="shared" si="17"/>
        <v/>
      </c>
      <c r="AB18" s="11" t="str">
        <f t="shared" si="18"/>
        <v/>
      </c>
      <c r="AC18" s="11" t="str">
        <f t="shared" si="9"/>
        <v/>
      </c>
      <c r="AD18" s="11" t="str">
        <f t="shared" si="10"/>
        <v/>
      </c>
      <c r="AE18" s="11" t="str">
        <f t="shared" si="11"/>
        <v/>
      </c>
      <c r="AF18" s="11" t="str">
        <f t="shared" si="12"/>
        <v/>
      </c>
      <c r="AG18" s="6" t="str">
        <f>IF(B18&lt;&gt;"",Segédlet!N14+Segédlet!O14+Segédlet!R14+AF18+AE18,"")</f>
        <v/>
      </c>
    </row>
    <row r="19" spans="1:33" s="7" customFormat="1" x14ac:dyDescent="0.2">
      <c r="A19" s="9" t="str">
        <f t="shared" si="19"/>
        <v xml:space="preserve"> </v>
      </c>
      <c r="B19" s="10"/>
      <c r="C19" s="18"/>
      <c r="D19" s="21" t="str">
        <f>IF(C19&lt;&gt;"",INDEX(Segédlet!$B$5:$B$37,MATCH(C19,Segédlet!$C$5:$C$37,0)),"")</f>
        <v/>
      </c>
      <c r="E19" s="19"/>
      <c r="F19" s="8"/>
      <c r="G19" s="5" t="str">
        <f t="shared" si="20"/>
        <v/>
      </c>
      <c r="H19" s="8" t="str">
        <f t="shared" si="0"/>
        <v/>
      </c>
      <c r="I19" s="8" t="str">
        <f t="shared" si="1"/>
        <v/>
      </c>
      <c r="J19" s="8" t="str">
        <f t="shared" si="13"/>
        <v/>
      </c>
      <c r="K19" s="8" t="str">
        <f t="shared" si="2"/>
        <v/>
      </c>
      <c r="L19" s="8" t="str">
        <f t="shared" si="14"/>
        <v/>
      </c>
      <c r="M19" s="8" t="str">
        <f t="shared" si="15"/>
        <v/>
      </c>
      <c r="N19" s="11"/>
      <c r="O19" s="11" t="str">
        <f t="shared" si="3"/>
        <v/>
      </c>
      <c r="P19" s="20"/>
      <c r="Q19" s="6" t="str">
        <f>IF(B19&lt;&gt;"",IF(AND(I19&gt;0,U19&gt;0),(N19+K19-I19)*VLOOKUP(P19,Segédlet!$I$5:$J$12,2,0),(N19+K19)*VLOOKUP(P19,Segédlet!$I$5:$J$12,2,0)),"")</f>
        <v/>
      </c>
      <c r="R19" s="6" t="str">
        <f>IF(B19&lt;&gt;"",IF((L19+M19)&lt;=14,(L19+M19)*K19*VLOOKUP(C19,Segédlet!$C$5:$G$37,4,0),K19*14*VLOOKUP(C19,Segédlet!$C$5:$G$37,4,0)+((L19+M19)-14)*K19*VLOOKUP(C19,Segédlet!$C$5:$G$37,5,0)),"")</f>
        <v/>
      </c>
      <c r="S19" s="6" t="str">
        <f>IF(B19&lt;&gt;"",IF(G19&lt;=14,G19*N19*VLOOKUP(C19,Segédlet!$C$5:$G$37,2,0),N19*14*VLOOKUP(C19,Segédlet!$C$5:$G$37,2,0)+(G19-14)*N19*VLOOKUP(C19,Segédlet!$C$5:$G$37,3,0)),"")</f>
        <v/>
      </c>
      <c r="T19" s="12" t="str">
        <f t="shared" si="4"/>
        <v/>
      </c>
      <c r="U19" s="12" t="str">
        <f t="shared" si="5"/>
        <v/>
      </c>
      <c r="V19" s="12" t="str">
        <f t="shared" si="16"/>
        <v/>
      </c>
      <c r="W19" s="12" t="str">
        <f t="shared" si="6"/>
        <v/>
      </c>
      <c r="X19" s="51" t="str">
        <f t="shared" si="7"/>
        <v/>
      </c>
      <c r="Y19" s="22" t="str">
        <f t="shared" si="8"/>
        <v/>
      </c>
      <c r="Z19" s="126" t="str">
        <f>IF(B19&lt;&gt;"",IF(B19=Segédlet!$L$6,"Jogosult igényelni","Nem jogosult igényelni"),"")</f>
        <v/>
      </c>
      <c r="AA19" s="11" t="str">
        <f t="shared" si="17"/>
        <v/>
      </c>
      <c r="AB19" s="11" t="str">
        <f t="shared" si="18"/>
        <v/>
      </c>
      <c r="AC19" s="11" t="str">
        <f t="shared" si="9"/>
        <v/>
      </c>
      <c r="AD19" s="11" t="str">
        <f t="shared" si="10"/>
        <v/>
      </c>
      <c r="AE19" s="11" t="str">
        <f t="shared" si="11"/>
        <v/>
      </c>
      <c r="AF19" s="11" t="str">
        <f t="shared" si="12"/>
        <v/>
      </c>
      <c r="AG19" s="6" t="str">
        <f>IF(B19&lt;&gt;"",Segédlet!N15+Segédlet!O15+Segédlet!R15+AF19+AE19,"")</f>
        <v/>
      </c>
    </row>
    <row r="20" spans="1:33" s="7" customFormat="1" x14ac:dyDescent="0.2">
      <c r="A20" s="9" t="str">
        <f t="shared" si="19"/>
        <v xml:space="preserve"> </v>
      </c>
      <c r="B20" s="10"/>
      <c r="C20" s="18"/>
      <c r="D20" s="21" t="str">
        <f>IF(C20&lt;&gt;"",INDEX(Segédlet!$B$5:$B$37,MATCH(C20,Segédlet!$C$5:$C$37,0)),"")</f>
        <v/>
      </c>
      <c r="E20" s="19"/>
      <c r="F20" s="8"/>
      <c r="G20" s="5" t="str">
        <f t="shared" si="20"/>
        <v/>
      </c>
      <c r="H20" s="8" t="str">
        <f t="shared" si="0"/>
        <v/>
      </c>
      <c r="I20" s="8" t="str">
        <f t="shared" si="1"/>
        <v/>
      </c>
      <c r="J20" s="8" t="str">
        <f t="shared" si="13"/>
        <v/>
      </c>
      <c r="K20" s="8" t="str">
        <f t="shared" si="2"/>
        <v/>
      </c>
      <c r="L20" s="8" t="str">
        <f t="shared" si="14"/>
        <v/>
      </c>
      <c r="M20" s="8" t="str">
        <f t="shared" si="15"/>
        <v/>
      </c>
      <c r="N20" s="11"/>
      <c r="O20" s="11" t="str">
        <f t="shared" si="3"/>
        <v/>
      </c>
      <c r="P20" s="20"/>
      <c r="Q20" s="6" t="str">
        <f>IF(B20&lt;&gt;"",IF(AND(I20&gt;0,U20&gt;0),(N20+K20-I20)*VLOOKUP(P20,Segédlet!$I$5:$J$12,2,0),(N20+K20)*VLOOKUP(P20,Segédlet!$I$5:$J$12,2,0)),"")</f>
        <v/>
      </c>
      <c r="R20" s="6" t="str">
        <f>IF(B20&lt;&gt;"",IF((L20+M20)&lt;=14,(L20+M20)*K20*VLOOKUP(C20,Segédlet!$C$5:$G$37,4,0),K20*14*VLOOKUP(C20,Segédlet!$C$5:$G$37,4,0)+((L20+M20)-14)*K20*VLOOKUP(C20,Segédlet!$C$5:$G$37,5,0)),"")</f>
        <v/>
      </c>
      <c r="S20" s="6" t="str">
        <f>IF(B20&lt;&gt;"",IF(G20&lt;=14,G20*N20*VLOOKUP(C20,Segédlet!$C$5:$G$37,2,0),N20*14*VLOOKUP(C20,Segédlet!$C$5:$G$37,2,0)+(G20-14)*N20*VLOOKUP(C20,Segédlet!$C$5:$G$37,3,0)),"")</f>
        <v/>
      </c>
      <c r="T20" s="12" t="str">
        <f t="shared" si="4"/>
        <v/>
      </c>
      <c r="U20" s="12" t="str">
        <f t="shared" si="5"/>
        <v/>
      </c>
      <c r="V20" s="12" t="str">
        <f t="shared" si="16"/>
        <v/>
      </c>
      <c r="W20" s="12" t="str">
        <f t="shared" si="6"/>
        <v/>
      </c>
      <c r="X20" s="51" t="str">
        <f t="shared" si="7"/>
        <v/>
      </c>
      <c r="Y20" s="22" t="str">
        <f t="shared" si="8"/>
        <v/>
      </c>
      <c r="Z20" s="126" t="str">
        <f>IF(B20&lt;&gt;"",IF(B20=Segédlet!$L$6,"Jogosult igényelni","Nem jogosult igényelni"),"")</f>
        <v/>
      </c>
      <c r="AA20" s="11" t="str">
        <f t="shared" si="17"/>
        <v/>
      </c>
      <c r="AB20" s="11" t="str">
        <f t="shared" si="18"/>
        <v/>
      </c>
      <c r="AC20" s="11" t="str">
        <f t="shared" si="9"/>
        <v/>
      </c>
      <c r="AD20" s="11" t="str">
        <f t="shared" si="10"/>
        <v/>
      </c>
      <c r="AE20" s="11" t="str">
        <f t="shared" si="11"/>
        <v/>
      </c>
      <c r="AF20" s="11" t="str">
        <f t="shared" si="12"/>
        <v/>
      </c>
      <c r="AG20" s="6" t="str">
        <f>IF(B20&lt;&gt;"",Segédlet!N16+Segédlet!O16+Segédlet!R16+AF20+AE20,"")</f>
        <v/>
      </c>
    </row>
    <row r="21" spans="1:33" s="7" customFormat="1" x14ac:dyDescent="0.2">
      <c r="A21" s="9" t="str">
        <f t="shared" si="19"/>
        <v xml:space="preserve"> </v>
      </c>
      <c r="B21" s="10"/>
      <c r="C21" s="18"/>
      <c r="D21" s="21" t="str">
        <f>IF(C21&lt;&gt;"",INDEX(Segédlet!$B$5:$B$37,MATCH(C21,Segédlet!$C$5:$C$37,0)),"")</f>
        <v/>
      </c>
      <c r="E21" s="19"/>
      <c r="F21" s="8"/>
      <c r="G21" s="5" t="str">
        <f t="shared" si="20"/>
        <v/>
      </c>
      <c r="H21" s="8" t="str">
        <f t="shared" si="0"/>
        <v/>
      </c>
      <c r="I21" s="8" t="str">
        <f t="shared" si="1"/>
        <v/>
      </c>
      <c r="J21" s="8" t="str">
        <f t="shared" si="13"/>
        <v/>
      </c>
      <c r="K21" s="8" t="str">
        <f t="shared" si="2"/>
        <v/>
      </c>
      <c r="L21" s="8" t="str">
        <f t="shared" si="14"/>
        <v/>
      </c>
      <c r="M21" s="8" t="str">
        <f t="shared" si="15"/>
        <v/>
      </c>
      <c r="N21" s="11"/>
      <c r="O21" s="11" t="str">
        <f t="shared" si="3"/>
        <v/>
      </c>
      <c r="P21" s="20"/>
      <c r="Q21" s="6" t="str">
        <f>IF(B21&lt;&gt;"",IF(AND(I21&gt;0,U21&gt;0),(N21+K21-I21)*VLOOKUP(P21,Segédlet!$I$5:$J$12,2,0),(N21+K21)*VLOOKUP(P21,Segédlet!$I$5:$J$12,2,0)),"")</f>
        <v/>
      </c>
      <c r="R21" s="6" t="str">
        <f>IF(B21&lt;&gt;"",IF((L21+M21)&lt;=14,(L21+M21)*K21*VLOOKUP(C21,Segédlet!$C$5:$G$37,4,0),K21*14*VLOOKUP(C21,Segédlet!$C$5:$G$37,4,0)+((L21+M21)-14)*K21*VLOOKUP(C21,Segédlet!$C$5:$G$37,5,0)),"")</f>
        <v/>
      </c>
      <c r="S21" s="6" t="str">
        <f>IF(B21&lt;&gt;"",IF(G21&lt;=14,G21*N21*VLOOKUP(C21,Segédlet!$C$5:$G$37,2,0),N21*14*VLOOKUP(C21,Segédlet!$C$5:$G$37,2,0)+(G21-14)*N21*VLOOKUP(C21,Segédlet!$C$5:$G$37,3,0)),"")</f>
        <v/>
      </c>
      <c r="T21" s="12" t="str">
        <f t="shared" si="4"/>
        <v/>
      </c>
      <c r="U21" s="12" t="str">
        <f t="shared" si="5"/>
        <v/>
      </c>
      <c r="V21" s="12" t="str">
        <f t="shared" si="16"/>
        <v/>
      </c>
      <c r="W21" s="12" t="str">
        <f t="shared" si="6"/>
        <v/>
      </c>
      <c r="X21" s="51" t="str">
        <f t="shared" si="7"/>
        <v/>
      </c>
      <c r="Y21" s="22" t="str">
        <f t="shared" si="8"/>
        <v/>
      </c>
      <c r="Z21" s="126" t="str">
        <f>IF(B21&lt;&gt;"",IF(B21=Segédlet!$L$6,"Jogosult igényelni","Nem jogosult igényelni"),"")</f>
        <v/>
      </c>
      <c r="AA21" s="11" t="str">
        <f t="shared" si="17"/>
        <v/>
      </c>
      <c r="AB21" s="11" t="str">
        <f t="shared" si="18"/>
        <v/>
      </c>
      <c r="AC21" s="11" t="str">
        <f t="shared" si="9"/>
        <v/>
      </c>
      <c r="AD21" s="11" t="str">
        <f t="shared" si="10"/>
        <v/>
      </c>
      <c r="AE21" s="11" t="str">
        <f t="shared" si="11"/>
        <v/>
      </c>
      <c r="AF21" s="11" t="str">
        <f t="shared" si="12"/>
        <v/>
      </c>
      <c r="AG21" s="6" t="str">
        <f>IF(B21&lt;&gt;"",Segédlet!N17+Segédlet!O17+Segédlet!R17+AF21+AE21,"")</f>
        <v/>
      </c>
    </row>
    <row r="22" spans="1:33" s="7" customFormat="1" x14ac:dyDescent="0.2">
      <c r="A22" s="9" t="str">
        <f t="shared" si="19"/>
        <v xml:space="preserve"> </v>
      </c>
      <c r="B22" s="10"/>
      <c r="C22" s="18"/>
      <c r="D22" s="21" t="str">
        <f>IF(C22&lt;&gt;"",INDEX(Segédlet!$B$5:$B$37,MATCH(C22,Segédlet!$C$5:$C$37,0)),"")</f>
        <v/>
      </c>
      <c r="E22" s="19"/>
      <c r="F22" s="8"/>
      <c r="G22" s="5" t="str">
        <f t="shared" si="20"/>
        <v/>
      </c>
      <c r="H22" s="8" t="str">
        <f t="shared" si="0"/>
        <v/>
      </c>
      <c r="I22" s="8" t="str">
        <f t="shared" si="1"/>
        <v/>
      </c>
      <c r="J22" s="8" t="str">
        <f t="shared" si="13"/>
        <v/>
      </c>
      <c r="K22" s="8" t="str">
        <f t="shared" si="2"/>
        <v/>
      </c>
      <c r="L22" s="8" t="str">
        <f t="shared" si="14"/>
        <v/>
      </c>
      <c r="M22" s="8" t="str">
        <f t="shared" si="15"/>
        <v/>
      </c>
      <c r="N22" s="11"/>
      <c r="O22" s="11" t="str">
        <f t="shared" si="3"/>
        <v/>
      </c>
      <c r="P22" s="20"/>
      <c r="Q22" s="6" t="str">
        <f>IF(B22&lt;&gt;"",IF(AND(I22&gt;0,U22&gt;0),(N22+K22-I22)*VLOOKUP(P22,Segédlet!$I$5:$J$12,2,0),(N22+K22)*VLOOKUP(P22,Segédlet!$I$5:$J$12,2,0)),"")</f>
        <v/>
      </c>
      <c r="R22" s="6" t="str">
        <f>IF(B22&lt;&gt;"",IF((L22+M22)&lt;=14,(L22+M22)*K22*VLOOKUP(C22,Segédlet!$C$5:$G$37,4,0),K22*14*VLOOKUP(C22,Segédlet!$C$5:$G$37,4,0)+((L22+M22)-14)*K22*VLOOKUP(C22,Segédlet!$C$5:$G$37,5,0)),"")</f>
        <v/>
      </c>
      <c r="S22" s="6" t="str">
        <f>IF(B22&lt;&gt;"",IF(G22&lt;=14,G22*N22*VLOOKUP(C22,Segédlet!$C$5:$G$37,2,0),N22*14*VLOOKUP(C22,Segédlet!$C$5:$G$37,2,0)+(G22-14)*N22*VLOOKUP(C22,Segédlet!$C$5:$G$37,3,0)),"")</f>
        <v/>
      </c>
      <c r="T22" s="12" t="str">
        <f t="shared" si="4"/>
        <v/>
      </c>
      <c r="U22" s="12" t="str">
        <f t="shared" si="5"/>
        <v/>
      </c>
      <c r="V22" s="12" t="str">
        <f t="shared" si="16"/>
        <v/>
      </c>
      <c r="W22" s="12" t="str">
        <f t="shared" si="6"/>
        <v/>
      </c>
      <c r="X22" s="51" t="str">
        <f t="shared" si="7"/>
        <v/>
      </c>
      <c r="Y22" s="22" t="str">
        <f t="shared" si="8"/>
        <v/>
      </c>
      <c r="Z22" s="126" t="str">
        <f>IF(B22&lt;&gt;"",IF(B22=Segédlet!$L$6,"Jogosult igényelni","Nem jogosult igényelni"),"")</f>
        <v/>
      </c>
      <c r="AA22" s="11" t="str">
        <f t="shared" si="17"/>
        <v/>
      </c>
      <c r="AB22" s="11" t="str">
        <f t="shared" si="18"/>
        <v/>
      </c>
      <c r="AC22" s="11" t="str">
        <f t="shared" si="9"/>
        <v/>
      </c>
      <c r="AD22" s="11" t="str">
        <f t="shared" si="10"/>
        <v/>
      </c>
      <c r="AE22" s="11" t="str">
        <f t="shared" si="11"/>
        <v/>
      </c>
      <c r="AF22" s="11" t="str">
        <f t="shared" si="12"/>
        <v/>
      </c>
      <c r="AG22" s="6" t="str">
        <f>IF(B22&lt;&gt;"",Segédlet!N18+Segédlet!O18+Segédlet!R18+AF22+AE22,"")</f>
        <v/>
      </c>
    </row>
    <row r="23" spans="1:33" s="7" customFormat="1" x14ac:dyDescent="0.2">
      <c r="A23" s="9" t="str">
        <f t="shared" si="19"/>
        <v xml:space="preserve"> </v>
      </c>
      <c r="B23" s="10"/>
      <c r="C23" s="18"/>
      <c r="D23" s="21" t="str">
        <f>IF(C23&lt;&gt;"",INDEX(Segédlet!$B$5:$B$37,MATCH(C23,Segédlet!$C$5:$C$37,0)),"")</f>
        <v/>
      </c>
      <c r="E23" s="19"/>
      <c r="F23" s="8"/>
      <c r="G23" s="5" t="str">
        <f t="shared" si="20"/>
        <v/>
      </c>
      <c r="H23" s="8" t="str">
        <f t="shared" si="0"/>
        <v/>
      </c>
      <c r="I23" s="8" t="str">
        <f t="shared" si="1"/>
        <v/>
      </c>
      <c r="J23" s="8" t="str">
        <f t="shared" si="13"/>
        <v/>
      </c>
      <c r="K23" s="8" t="str">
        <f t="shared" si="2"/>
        <v/>
      </c>
      <c r="L23" s="8" t="str">
        <f t="shared" si="14"/>
        <v/>
      </c>
      <c r="M23" s="8" t="str">
        <f t="shared" si="15"/>
        <v/>
      </c>
      <c r="N23" s="11"/>
      <c r="O23" s="11" t="str">
        <f t="shared" si="3"/>
        <v/>
      </c>
      <c r="P23" s="20"/>
      <c r="Q23" s="6" t="str">
        <f>IF(B23&lt;&gt;"",IF(AND(I23&gt;0,U23&gt;0),(N23+K23-I23)*VLOOKUP(P23,Segédlet!$I$5:$J$12,2,0),(N23+K23)*VLOOKUP(P23,Segédlet!$I$5:$J$12,2,0)),"")</f>
        <v/>
      </c>
      <c r="R23" s="6" t="str">
        <f>IF(B23&lt;&gt;"",IF((L23+M23)&lt;=14,(L23+M23)*K23*VLOOKUP(C23,Segédlet!$C$5:$G$37,4,0),K23*14*VLOOKUP(C23,Segédlet!$C$5:$G$37,4,0)+((L23+M23)-14)*K23*VLOOKUP(C23,Segédlet!$C$5:$G$37,5,0)),"")</f>
        <v/>
      </c>
      <c r="S23" s="6" t="str">
        <f>IF(B23&lt;&gt;"",IF(G23&lt;=14,G23*N23*VLOOKUP(C23,Segédlet!$C$5:$G$37,2,0),N23*14*VLOOKUP(C23,Segédlet!$C$5:$G$37,2,0)+(G23-14)*N23*VLOOKUP(C23,Segédlet!$C$5:$G$37,3,0)),"")</f>
        <v/>
      </c>
      <c r="T23" s="12" t="str">
        <f t="shared" si="4"/>
        <v/>
      </c>
      <c r="U23" s="12" t="str">
        <f t="shared" si="5"/>
        <v/>
      </c>
      <c r="V23" s="12" t="str">
        <f t="shared" si="16"/>
        <v/>
      </c>
      <c r="W23" s="12" t="str">
        <f t="shared" si="6"/>
        <v/>
      </c>
      <c r="X23" s="51" t="str">
        <f t="shared" si="7"/>
        <v/>
      </c>
      <c r="Y23" s="22" t="str">
        <f t="shared" si="8"/>
        <v/>
      </c>
      <c r="Z23" s="126" t="str">
        <f>IF(B23&lt;&gt;"",IF(B23=Segédlet!$L$6,"Jogosult igényelni","Nem jogosult igényelni"),"")</f>
        <v/>
      </c>
      <c r="AA23" s="11" t="str">
        <f t="shared" si="17"/>
        <v/>
      </c>
      <c r="AB23" s="11" t="str">
        <f t="shared" si="18"/>
        <v/>
      </c>
      <c r="AC23" s="11" t="str">
        <f t="shared" si="9"/>
        <v/>
      </c>
      <c r="AD23" s="11" t="str">
        <f t="shared" si="10"/>
        <v/>
      </c>
      <c r="AE23" s="11" t="str">
        <f t="shared" si="11"/>
        <v/>
      </c>
      <c r="AF23" s="11" t="str">
        <f t="shared" si="12"/>
        <v/>
      </c>
      <c r="AG23" s="6" t="str">
        <f>IF(B23&lt;&gt;"",Segédlet!N19+Segédlet!O19+Segédlet!R19+AF23+AE23,"")</f>
        <v/>
      </c>
    </row>
    <row r="24" spans="1:33" s="7" customFormat="1" x14ac:dyDescent="0.2">
      <c r="A24" s="9" t="str">
        <f t="shared" si="19"/>
        <v xml:space="preserve"> </v>
      </c>
      <c r="B24" s="10"/>
      <c r="C24" s="18"/>
      <c r="D24" s="21" t="str">
        <f>IF(C24&lt;&gt;"",INDEX(Segédlet!$B$5:$B$37,MATCH(C24,Segédlet!$C$5:$C$37,0)),"")</f>
        <v/>
      </c>
      <c r="E24" s="19"/>
      <c r="F24" s="8"/>
      <c r="G24" s="5" t="str">
        <f t="shared" si="20"/>
        <v/>
      </c>
      <c r="H24" s="8" t="str">
        <f t="shared" si="0"/>
        <v/>
      </c>
      <c r="I24" s="8" t="str">
        <f t="shared" si="1"/>
        <v/>
      </c>
      <c r="J24" s="8" t="str">
        <f t="shared" si="13"/>
        <v/>
      </c>
      <c r="K24" s="8" t="str">
        <f t="shared" si="2"/>
        <v/>
      </c>
      <c r="L24" s="8" t="str">
        <f t="shared" si="14"/>
        <v/>
      </c>
      <c r="M24" s="8" t="str">
        <f t="shared" si="15"/>
        <v/>
      </c>
      <c r="N24" s="11"/>
      <c r="O24" s="11" t="str">
        <f t="shared" si="3"/>
        <v/>
      </c>
      <c r="P24" s="20"/>
      <c r="Q24" s="6" t="str">
        <f>IF(B24&lt;&gt;"",IF(AND(I24&gt;0,U24&gt;0),(N24+K24-I24)*VLOOKUP(P24,Segédlet!$I$5:$J$12,2,0),(N24+K24)*VLOOKUP(P24,Segédlet!$I$5:$J$12,2,0)),"")</f>
        <v/>
      </c>
      <c r="R24" s="6" t="str">
        <f>IF(B24&lt;&gt;"",IF((L24+M24)&lt;=14,(L24+M24)*K24*VLOOKUP(C24,Segédlet!$C$5:$G$37,4,0),K24*14*VLOOKUP(C24,Segédlet!$C$5:$G$37,4,0)+((L24+M24)-14)*K24*VLOOKUP(C24,Segédlet!$C$5:$G$37,5,0)),"")</f>
        <v/>
      </c>
      <c r="S24" s="6" t="str">
        <f>IF(B24&lt;&gt;"",IF(G24&lt;=14,G24*N24*VLOOKUP(C24,Segédlet!$C$5:$G$37,2,0),N24*14*VLOOKUP(C24,Segédlet!$C$5:$G$37,2,0)+(G24-14)*N24*VLOOKUP(C24,Segédlet!$C$5:$G$37,3,0)),"")</f>
        <v/>
      </c>
      <c r="T24" s="12" t="str">
        <f t="shared" si="4"/>
        <v/>
      </c>
      <c r="U24" s="12" t="str">
        <f t="shared" si="5"/>
        <v/>
      </c>
      <c r="V24" s="12" t="str">
        <f t="shared" si="16"/>
        <v/>
      </c>
      <c r="W24" s="12" t="str">
        <f t="shared" si="6"/>
        <v/>
      </c>
      <c r="X24" s="51" t="str">
        <f t="shared" si="7"/>
        <v/>
      </c>
      <c r="Y24" s="22" t="str">
        <f t="shared" si="8"/>
        <v/>
      </c>
      <c r="Z24" s="126" t="str">
        <f>IF(B24&lt;&gt;"",IF(B24=Segédlet!$L$6,"Jogosult igényelni","Nem jogosult igényelni"),"")</f>
        <v/>
      </c>
      <c r="AA24" s="11" t="str">
        <f t="shared" si="17"/>
        <v/>
      </c>
      <c r="AB24" s="11" t="str">
        <f t="shared" si="18"/>
        <v/>
      </c>
      <c r="AC24" s="11" t="str">
        <f t="shared" si="9"/>
        <v/>
      </c>
      <c r="AD24" s="11" t="str">
        <f t="shared" si="10"/>
        <v/>
      </c>
      <c r="AE24" s="11" t="str">
        <f t="shared" si="11"/>
        <v/>
      </c>
      <c r="AF24" s="11" t="str">
        <f t="shared" si="12"/>
        <v/>
      </c>
      <c r="AG24" s="6" t="str">
        <f>IF(B24&lt;&gt;"",Segédlet!N20+Segédlet!O20+Segédlet!R20+AF24+AE24,"")</f>
        <v/>
      </c>
    </row>
    <row r="25" spans="1:33" s="7" customFormat="1" x14ac:dyDescent="0.2">
      <c r="A25" s="9" t="str">
        <f t="shared" si="19"/>
        <v xml:space="preserve"> </v>
      </c>
      <c r="B25" s="10"/>
      <c r="C25" s="18"/>
      <c r="D25" s="21" t="str">
        <f>IF(C25&lt;&gt;"",INDEX(Segédlet!$B$5:$B$37,MATCH(C25,Segédlet!$C$5:$C$37,0)),"")</f>
        <v/>
      </c>
      <c r="E25" s="19"/>
      <c r="F25" s="8"/>
      <c r="G25" s="5" t="str">
        <f t="shared" si="20"/>
        <v/>
      </c>
      <c r="H25" s="8" t="str">
        <f t="shared" si="0"/>
        <v/>
      </c>
      <c r="I25" s="8" t="str">
        <f t="shared" si="1"/>
        <v/>
      </c>
      <c r="J25" s="8" t="str">
        <f t="shared" si="13"/>
        <v/>
      </c>
      <c r="K25" s="8" t="str">
        <f t="shared" si="2"/>
        <v/>
      </c>
      <c r="L25" s="8" t="str">
        <f t="shared" si="14"/>
        <v/>
      </c>
      <c r="M25" s="8" t="str">
        <f t="shared" si="15"/>
        <v/>
      </c>
      <c r="N25" s="11"/>
      <c r="O25" s="11" t="str">
        <f t="shared" si="3"/>
        <v/>
      </c>
      <c r="P25" s="20"/>
      <c r="Q25" s="6" t="str">
        <f>IF(B25&lt;&gt;"",IF(AND(I25&gt;0,U25&gt;0),(N25+K25-I25)*VLOOKUP(P25,Segédlet!$I$5:$J$12,2,0),(N25+K25)*VLOOKUP(P25,Segédlet!$I$5:$J$12,2,0)),"")</f>
        <v/>
      </c>
      <c r="R25" s="6" t="str">
        <f>IF(B25&lt;&gt;"",IF((L25+M25)&lt;=14,(L25+M25)*K25*VLOOKUP(C25,Segédlet!$C$5:$G$37,4,0),K25*14*VLOOKUP(C25,Segédlet!$C$5:$G$37,4,0)+((L25+M25)-14)*K25*VLOOKUP(C25,Segédlet!$C$5:$G$37,5,0)),"")</f>
        <v/>
      </c>
      <c r="S25" s="6" t="str">
        <f>IF(B25&lt;&gt;"",IF(G25&lt;=14,G25*N25*VLOOKUP(C25,Segédlet!$C$5:$G$37,2,0),N25*14*VLOOKUP(C25,Segédlet!$C$5:$G$37,2,0)+(G25-14)*N25*VLOOKUP(C25,Segédlet!$C$5:$G$37,3,0)),"")</f>
        <v/>
      </c>
      <c r="T25" s="12" t="str">
        <f t="shared" si="4"/>
        <v/>
      </c>
      <c r="U25" s="12" t="str">
        <f t="shared" si="5"/>
        <v/>
      </c>
      <c r="V25" s="12" t="str">
        <f t="shared" si="16"/>
        <v/>
      </c>
      <c r="W25" s="12" t="str">
        <f t="shared" si="6"/>
        <v/>
      </c>
      <c r="X25" s="51" t="str">
        <f t="shared" si="7"/>
        <v/>
      </c>
      <c r="Y25" s="22" t="str">
        <f t="shared" si="8"/>
        <v/>
      </c>
      <c r="Z25" s="126" t="str">
        <f>IF(B25&lt;&gt;"",IF(B25=Segédlet!$L$6,"Jogosult igényelni","Nem jogosult igényelni"),"")</f>
        <v/>
      </c>
      <c r="AA25" s="11" t="str">
        <f t="shared" si="17"/>
        <v/>
      </c>
      <c r="AB25" s="11" t="str">
        <f t="shared" si="18"/>
        <v/>
      </c>
      <c r="AC25" s="11" t="str">
        <f t="shared" si="9"/>
        <v/>
      </c>
      <c r="AD25" s="11" t="str">
        <f t="shared" si="10"/>
        <v/>
      </c>
      <c r="AE25" s="11" t="str">
        <f t="shared" si="11"/>
        <v/>
      </c>
      <c r="AF25" s="11" t="str">
        <f t="shared" si="12"/>
        <v/>
      </c>
      <c r="AG25" s="6" t="str">
        <f>IF(B25&lt;&gt;"",Segédlet!N21+Segédlet!O21+Segédlet!R21+AF25+AE25,"")</f>
        <v/>
      </c>
    </row>
    <row r="26" spans="1:33" s="7" customFormat="1" x14ac:dyDescent="0.2">
      <c r="A26" s="9" t="str">
        <f t="shared" si="19"/>
        <v xml:space="preserve"> </v>
      </c>
      <c r="B26" s="10"/>
      <c r="C26" s="18"/>
      <c r="D26" s="21" t="str">
        <f>IF(C26&lt;&gt;"",INDEX(Segédlet!$B$5:$B$37,MATCH(C26,Segédlet!$C$5:$C$37,0)),"")</f>
        <v/>
      </c>
      <c r="E26" s="19"/>
      <c r="F26" s="8"/>
      <c r="G26" s="5" t="str">
        <f t="shared" si="20"/>
        <v/>
      </c>
      <c r="H26" s="8" t="str">
        <f t="shared" si="0"/>
        <v/>
      </c>
      <c r="I26" s="8" t="str">
        <f t="shared" si="1"/>
        <v/>
      </c>
      <c r="J26" s="8" t="str">
        <f t="shared" si="13"/>
        <v/>
      </c>
      <c r="K26" s="8" t="str">
        <f t="shared" si="2"/>
        <v/>
      </c>
      <c r="L26" s="8" t="str">
        <f t="shared" si="14"/>
        <v/>
      </c>
      <c r="M26" s="8" t="str">
        <f t="shared" si="15"/>
        <v/>
      </c>
      <c r="N26" s="11"/>
      <c r="O26" s="11" t="str">
        <f t="shared" si="3"/>
        <v/>
      </c>
      <c r="P26" s="20"/>
      <c r="Q26" s="6" t="str">
        <f>IF(B26&lt;&gt;"",IF(AND(I26&gt;0,U26&gt;0),(N26+K26-I26)*VLOOKUP(P26,Segédlet!$I$5:$J$12,2,0),(N26+K26)*VLOOKUP(P26,Segédlet!$I$5:$J$12,2,0)),"")</f>
        <v/>
      </c>
      <c r="R26" s="6" t="str">
        <f>IF(B26&lt;&gt;"",IF((L26+M26)&lt;=14,(L26+M26)*K26*VLOOKUP(C26,Segédlet!$C$5:$G$37,4,0),K26*14*VLOOKUP(C26,Segédlet!$C$5:$G$37,4,0)+((L26+M26)-14)*K26*VLOOKUP(C26,Segédlet!$C$5:$G$37,5,0)),"")</f>
        <v/>
      </c>
      <c r="S26" s="6" t="str">
        <f>IF(B26&lt;&gt;"",IF(G26&lt;=14,G26*N26*VLOOKUP(C26,Segédlet!$C$5:$G$37,2,0),N26*14*VLOOKUP(C26,Segédlet!$C$5:$G$37,2,0)+(G26-14)*N26*VLOOKUP(C26,Segédlet!$C$5:$G$37,3,0)),"")</f>
        <v/>
      </c>
      <c r="T26" s="12" t="str">
        <f t="shared" si="4"/>
        <v/>
      </c>
      <c r="U26" s="12" t="str">
        <f t="shared" si="5"/>
        <v/>
      </c>
      <c r="V26" s="12" t="str">
        <f t="shared" si="16"/>
        <v/>
      </c>
      <c r="W26" s="12" t="str">
        <f t="shared" si="6"/>
        <v/>
      </c>
      <c r="X26" s="51" t="str">
        <f t="shared" si="7"/>
        <v/>
      </c>
      <c r="Y26" s="22" t="str">
        <f t="shared" si="8"/>
        <v/>
      </c>
      <c r="Z26" s="126" t="str">
        <f>IF(B26&lt;&gt;"",IF(B26=Segédlet!$L$6,"Jogosult igényelni","Nem jogosult igényelni"),"")</f>
        <v/>
      </c>
      <c r="AA26" s="11" t="str">
        <f t="shared" si="17"/>
        <v/>
      </c>
      <c r="AB26" s="11" t="str">
        <f t="shared" si="18"/>
        <v/>
      </c>
      <c r="AC26" s="11" t="str">
        <f t="shared" si="9"/>
        <v/>
      </c>
      <c r="AD26" s="11" t="str">
        <f t="shared" si="10"/>
        <v/>
      </c>
      <c r="AE26" s="11" t="str">
        <f t="shared" si="11"/>
        <v/>
      </c>
      <c r="AF26" s="11" t="str">
        <f t="shared" si="12"/>
        <v/>
      </c>
      <c r="AG26" s="6" t="str">
        <f>IF(B26&lt;&gt;"",Segédlet!N22+Segédlet!O22+Segédlet!R22+AF26+AE26,"")</f>
        <v/>
      </c>
    </row>
    <row r="27" spans="1:33" s="7" customFormat="1" x14ac:dyDescent="0.2">
      <c r="A27" s="9" t="str">
        <f t="shared" si="19"/>
        <v xml:space="preserve"> </v>
      </c>
      <c r="B27" s="10"/>
      <c r="C27" s="18"/>
      <c r="D27" s="21" t="str">
        <f>IF(C27&lt;&gt;"",INDEX(Segédlet!$B$5:$B$37,MATCH(C27,Segédlet!$C$5:$C$37,0)),"")</f>
        <v/>
      </c>
      <c r="E27" s="19"/>
      <c r="F27" s="8"/>
      <c r="G27" s="5" t="str">
        <f t="shared" si="20"/>
        <v/>
      </c>
      <c r="H27" s="8" t="str">
        <f t="shared" si="0"/>
        <v/>
      </c>
      <c r="I27" s="8" t="str">
        <f t="shared" si="1"/>
        <v/>
      </c>
      <c r="J27" s="8" t="str">
        <f t="shared" si="13"/>
        <v/>
      </c>
      <c r="K27" s="8" t="str">
        <f t="shared" si="2"/>
        <v/>
      </c>
      <c r="L27" s="8" t="str">
        <f t="shared" si="14"/>
        <v/>
      </c>
      <c r="M27" s="8" t="str">
        <f t="shared" si="15"/>
        <v/>
      </c>
      <c r="N27" s="11"/>
      <c r="O27" s="11" t="str">
        <f t="shared" si="3"/>
        <v/>
      </c>
      <c r="P27" s="20"/>
      <c r="Q27" s="6" t="str">
        <f>IF(B27&lt;&gt;"",IF(AND(I27&gt;0,U27&gt;0),(N27+K27-I27)*VLOOKUP(P27,Segédlet!$I$5:$J$12,2,0),(N27+K27)*VLOOKUP(P27,Segédlet!$I$5:$J$12,2,0)),"")</f>
        <v/>
      </c>
      <c r="R27" s="6" t="str">
        <f>IF(B27&lt;&gt;"",IF((L27+M27)&lt;=14,(L27+M27)*K27*VLOOKUP(C27,Segédlet!$C$5:$G$37,4,0),K27*14*VLOOKUP(C27,Segédlet!$C$5:$G$37,4,0)+((L27+M27)-14)*K27*VLOOKUP(C27,Segédlet!$C$5:$G$37,5,0)),"")</f>
        <v/>
      </c>
      <c r="S27" s="6" t="str">
        <f>IF(B27&lt;&gt;"",IF(G27&lt;=14,G27*N27*VLOOKUP(C27,Segédlet!$C$5:$G$37,2,0),N27*14*VLOOKUP(C27,Segédlet!$C$5:$G$37,2,0)+(G27-14)*N27*VLOOKUP(C27,Segédlet!$C$5:$G$37,3,0)),"")</f>
        <v/>
      </c>
      <c r="T27" s="12" t="str">
        <f t="shared" si="4"/>
        <v/>
      </c>
      <c r="U27" s="12" t="str">
        <f t="shared" si="5"/>
        <v/>
      </c>
      <c r="V27" s="12" t="str">
        <f t="shared" si="16"/>
        <v/>
      </c>
      <c r="W27" s="12" t="str">
        <f t="shared" si="6"/>
        <v/>
      </c>
      <c r="X27" s="51" t="str">
        <f t="shared" si="7"/>
        <v/>
      </c>
      <c r="Y27" s="22" t="str">
        <f t="shared" si="8"/>
        <v/>
      </c>
      <c r="Z27" s="126" t="str">
        <f>IF(B27&lt;&gt;"",IF(B27=Segédlet!$L$6,"Jogosult igényelni","Nem jogosult igényelni"),"")</f>
        <v/>
      </c>
      <c r="AA27" s="11" t="str">
        <f t="shared" si="17"/>
        <v/>
      </c>
      <c r="AB27" s="11" t="str">
        <f t="shared" si="18"/>
        <v/>
      </c>
      <c r="AC27" s="11" t="str">
        <f t="shared" si="9"/>
        <v/>
      </c>
      <c r="AD27" s="11" t="str">
        <f t="shared" si="10"/>
        <v/>
      </c>
      <c r="AE27" s="11" t="str">
        <f t="shared" si="11"/>
        <v/>
      </c>
      <c r="AF27" s="11" t="str">
        <f t="shared" si="12"/>
        <v/>
      </c>
      <c r="AG27" s="6" t="str">
        <f>IF(B27&lt;&gt;"",Segédlet!N23+Segédlet!O23+Segédlet!R23+AF27+AE27,"")</f>
        <v/>
      </c>
    </row>
    <row r="28" spans="1:33" s="7" customFormat="1" x14ac:dyDescent="0.2">
      <c r="A28" s="9" t="str">
        <f t="shared" si="19"/>
        <v xml:space="preserve"> </v>
      </c>
      <c r="B28" s="10"/>
      <c r="C28" s="18"/>
      <c r="D28" s="21" t="str">
        <f>IF(C28&lt;&gt;"",INDEX(Segédlet!$B$5:$B$37,MATCH(C28,Segédlet!$C$5:$C$37,0)),"")</f>
        <v/>
      </c>
      <c r="E28" s="19"/>
      <c r="F28" s="8"/>
      <c r="G28" s="5" t="str">
        <f t="shared" si="20"/>
        <v/>
      </c>
      <c r="H28" s="8" t="str">
        <f t="shared" si="0"/>
        <v/>
      </c>
      <c r="I28" s="8" t="str">
        <f t="shared" si="1"/>
        <v/>
      </c>
      <c r="J28" s="8" t="str">
        <f t="shared" si="13"/>
        <v/>
      </c>
      <c r="K28" s="8" t="str">
        <f t="shared" si="2"/>
        <v/>
      </c>
      <c r="L28" s="8" t="str">
        <f t="shared" si="14"/>
        <v/>
      </c>
      <c r="M28" s="8" t="str">
        <f t="shared" si="15"/>
        <v/>
      </c>
      <c r="N28" s="11"/>
      <c r="O28" s="11" t="str">
        <f t="shared" si="3"/>
        <v/>
      </c>
      <c r="P28" s="20"/>
      <c r="Q28" s="6" t="str">
        <f>IF(B28&lt;&gt;"",IF(AND(I28&gt;0,U28&gt;0),(N28+K28-I28)*VLOOKUP(P28,Segédlet!$I$5:$J$12,2,0),(N28+K28)*VLOOKUP(P28,Segédlet!$I$5:$J$12,2,0)),"")</f>
        <v/>
      </c>
      <c r="R28" s="6" t="str">
        <f>IF(B28&lt;&gt;"",IF((L28+M28)&lt;=14,(L28+M28)*K28*VLOOKUP(C28,Segédlet!$C$5:$G$37,4,0),K28*14*VLOOKUP(C28,Segédlet!$C$5:$G$37,4,0)+((L28+M28)-14)*K28*VLOOKUP(C28,Segédlet!$C$5:$G$37,5,0)),"")</f>
        <v/>
      </c>
      <c r="S28" s="6" t="str">
        <f>IF(B28&lt;&gt;"",IF(G28&lt;=14,G28*N28*VLOOKUP(C28,Segédlet!$C$5:$G$37,2,0),N28*14*VLOOKUP(C28,Segédlet!$C$5:$G$37,2,0)+(G28-14)*N28*VLOOKUP(C28,Segédlet!$C$5:$G$37,3,0)),"")</f>
        <v/>
      </c>
      <c r="T28" s="12" t="str">
        <f t="shared" si="4"/>
        <v/>
      </c>
      <c r="U28" s="12" t="str">
        <f t="shared" si="5"/>
        <v/>
      </c>
      <c r="V28" s="12" t="str">
        <f t="shared" si="16"/>
        <v/>
      </c>
      <c r="W28" s="12" t="str">
        <f t="shared" si="6"/>
        <v/>
      </c>
      <c r="X28" s="51" t="str">
        <f t="shared" si="7"/>
        <v/>
      </c>
      <c r="Y28" s="22" t="str">
        <f t="shared" si="8"/>
        <v/>
      </c>
      <c r="Z28" s="126" t="str">
        <f>IF(B28&lt;&gt;"",IF(B28=Segédlet!$L$6,"Jogosult igényelni","Nem jogosult igényelni"),"")</f>
        <v/>
      </c>
      <c r="AA28" s="11" t="str">
        <f t="shared" si="17"/>
        <v/>
      </c>
      <c r="AB28" s="11" t="str">
        <f t="shared" si="18"/>
        <v/>
      </c>
      <c r="AC28" s="11" t="str">
        <f t="shared" si="9"/>
        <v/>
      </c>
      <c r="AD28" s="11" t="str">
        <f t="shared" si="10"/>
        <v/>
      </c>
      <c r="AE28" s="11" t="str">
        <f t="shared" si="11"/>
        <v/>
      </c>
      <c r="AF28" s="11" t="str">
        <f t="shared" si="12"/>
        <v/>
      </c>
      <c r="AG28" s="6" t="str">
        <f>IF(B28&lt;&gt;"",Segédlet!N24+Segédlet!O24+Segédlet!R24+AF28+AE28,"")</f>
        <v/>
      </c>
    </row>
    <row r="29" spans="1:33" s="7" customFormat="1" x14ac:dyDescent="0.2">
      <c r="A29" s="9" t="str">
        <f t="shared" si="19"/>
        <v xml:space="preserve"> </v>
      </c>
      <c r="B29" s="10"/>
      <c r="C29" s="18"/>
      <c r="D29" s="21" t="str">
        <f>IF(C29&lt;&gt;"",INDEX(Segédlet!$B$5:$B$37,MATCH(C29,Segédlet!$C$5:$C$37,0)),"")</f>
        <v/>
      </c>
      <c r="E29" s="19"/>
      <c r="F29" s="8"/>
      <c r="G29" s="5" t="str">
        <f t="shared" si="20"/>
        <v/>
      </c>
      <c r="H29" s="8" t="str">
        <f t="shared" si="0"/>
        <v/>
      </c>
      <c r="I29" s="8" t="str">
        <f t="shared" si="1"/>
        <v/>
      </c>
      <c r="J29" s="8" t="str">
        <f t="shared" si="13"/>
        <v/>
      </c>
      <c r="K29" s="8" t="str">
        <f t="shared" si="2"/>
        <v/>
      </c>
      <c r="L29" s="8" t="str">
        <f t="shared" si="14"/>
        <v/>
      </c>
      <c r="M29" s="8" t="str">
        <f t="shared" si="15"/>
        <v/>
      </c>
      <c r="N29" s="11"/>
      <c r="O29" s="11" t="str">
        <f t="shared" si="3"/>
        <v/>
      </c>
      <c r="P29" s="20"/>
      <c r="Q29" s="6" t="str">
        <f>IF(B29&lt;&gt;"",IF(AND(I29&gt;0,U29&gt;0),(N29+K29-I29)*VLOOKUP(P29,Segédlet!$I$5:$J$12,2,0),(N29+K29)*VLOOKUP(P29,Segédlet!$I$5:$J$12,2,0)),"")</f>
        <v/>
      </c>
      <c r="R29" s="6" t="str">
        <f>IF(B29&lt;&gt;"",IF((L29+M29)&lt;=14,(L29+M29)*K29*VLOOKUP(C29,Segédlet!$C$5:$G$37,4,0),K29*14*VLOOKUP(C29,Segédlet!$C$5:$G$37,4,0)+((L29+M29)-14)*K29*VLOOKUP(C29,Segédlet!$C$5:$G$37,5,0)),"")</f>
        <v/>
      </c>
      <c r="S29" s="6" t="str">
        <f>IF(B29&lt;&gt;"",IF(G29&lt;=14,G29*N29*VLOOKUP(C29,Segédlet!$C$5:$G$37,2,0),N29*14*VLOOKUP(C29,Segédlet!$C$5:$G$37,2,0)+(G29-14)*N29*VLOOKUP(C29,Segédlet!$C$5:$G$37,3,0)),"")</f>
        <v/>
      </c>
      <c r="T29" s="12" t="str">
        <f t="shared" si="4"/>
        <v/>
      </c>
      <c r="U29" s="12" t="str">
        <f t="shared" si="5"/>
        <v/>
      </c>
      <c r="V29" s="12" t="str">
        <f t="shared" si="16"/>
        <v/>
      </c>
      <c r="W29" s="12" t="str">
        <f t="shared" si="6"/>
        <v/>
      </c>
      <c r="X29" s="51" t="str">
        <f t="shared" si="7"/>
        <v/>
      </c>
      <c r="Y29" s="22" t="str">
        <f t="shared" si="8"/>
        <v/>
      </c>
      <c r="Z29" s="126" t="str">
        <f>IF(B29&lt;&gt;"",IF(B29=Segédlet!$L$6,"Jogosult igényelni","Nem jogosult igényelni"),"")</f>
        <v/>
      </c>
      <c r="AA29" s="11" t="str">
        <f t="shared" si="17"/>
        <v/>
      </c>
      <c r="AB29" s="11" t="str">
        <f t="shared" si="18"/>
        <v/>
      </c>
      <c r="AC29" s="11" t="str">
        <f t="shared" si="9"/>
        <v/>
      </c>
      <c r="AD29" s="11" t="str">
        <f t="shared" si="10"/>
        <v/>
      </c>
      <c r="AE29" s="11" t="str">
        <f t="shared" si="11"/>
        <v/>
      </c>
      <c r="AF29" s="11" t="str">
        <f t="shared" si="12"/>
        <v/>
      </c>
      <c r="AG29" s="6" t="str">
        <f>IF(B29&lt;&gt;"",Segédlet!N25+Segédlet!O25+Segédlet!R25+AF29+AE29,"")</f>
        <v/>
      </c>
    </row>
    <row r="30" spans="1:33" s="7" customFormat="1" x14ac:dyDescent="0.2">
      <c r="A30" s="9" t="str">
        <f t="shared" si="19"/>
        <v xml:space="preserve"> </v>
      </c>
      <c r="B30" s="10"/>
      <c r="C30" s="18"/>
      <c r="D30" s="21" t="str">
        <f>IF(C30&lt;&gt;"",INDEX(Segédlet!$B$5:$B$37,MATCH(C30,Segédlet!$C$5:$C$37,0)),"")</f>
        <v/>
      </c>
      <c r="E30" s="19"/>
      <c r="F30" s="8"/>
      <c r="G30" s="5" t="str">
        <f t="shared" si="20"/>
        <v/>
      </c>
      <c r="H30" s="8" t="str">
        <f t="shared" si="0"/>
        <v/>
      </c>
      <c r="I30" s="8" t="str">
        <f t="shared" si="1"/>
        <v/>
      </c>
      <c r="J30" s="8" t="str">
        <f t="shared" si="13"/>
        <v/>
      </c>
      <c r="K30" s="8" t="str">
        <f t="shared" si="2"/>
        <v/>
      </c>
      <c r="L30" s="8" t="str">
        <f t="shared" si="14"/>
        <v/>
      </c>
      <c r="M30" s="8" t="str">
        <f t="shared" si="15"/>
        <v/>
      </c>
      <c r="N30" s="11"/>
      <c r="O30" s="11" t="str">
        <f t="shared" si="3"/>
        <v/>
      </c>
      <c r="P30" s="20"/>
      <c r="Q30" s="6" t="str">
        <f>IF(B30&lt;&gt;"",IF(AND(I30&gt;0,U30&gt;0),(N30+K30-I30)*VLOOKUP(P30,Segédlet!$I$5:$J$12,2,0),(N30+K30)*VLOOKUP(P30,Segédlet!$I$5:$J$12,2,0)),"")</f>
        <v/>
      </c>
      <c r="R30" s="6" t="str">
        <f>IF(B30&lt;&gt;"",IF((L30+M30)&lt;=14,(L30+M30)*K30*VLOOKUP(C30,Segédlet!$C$5:$G$37,4,0),K30*14*VLOOKUP(C30,Segédlet!$C$5:$G$37,4,0)+((L30+M30)-14)*K30*VLOOKUP(C30,Segédlet!$C$5:$G$37,5,0)),"")</f>
        <v/>
      </c>
      <c r="S30" s="6" t="str">
        <f>IF(B30&lt;&gt;"",IF(G30&lt;=14,G30*N30*VLOOKUP(C30,Segédlet!$C$5:$G$37,2,0),N30*14*VLOOKUP(C30,Segédlet!$C$5:$G$37,2,0)+(G30-14)*N30*VLOOKUP(C30,Segédlet!$C$5:$G$37,3,0)),"")</f>
        <v/>
      </c>
      <c r="T30" s="12" t="str">
        <f t="shared" si="4"/>
        <v/>
      </c>
      <c r="U30" s="12" t="str">
        <f t="shared" si="5"/>
        <v/>
      </c>
      <c r="V30" s="12" t="str">
        <f t="shared" si="16"/>
        <v/>
      </c>
      <c r="W30" s="12" t="str">
        <f t="shared" si="6"/>
        <v/>
      </c>
      <c r="X30" s="51" t="str">
        <f t="shared" si="7"/>
        <v/>
      </c>
      <c r="Y30" s="22" t="str">
        <f t="shared" si="8"/>
        <v/>
      </c>
      <c r="Z30" s="126" t="str">
        <f>IF(B30&lt;&gt;"",IF(B30=Segédlet!$L$6,"Jogosult igényelni","Nem jogosult igényelni"),"")</f>
        <v/>
      </c>
      <c r="AA30" s="11" t="str">
        <f t="shared" si="17"/>
        <v/>
      </c>
      <c r="AB30" s="11" t="str">
        <f t="shared" si="18"/>
        <v/>
      </c>
      <c r="AC30" s="11" t="str">
        <f t="shared" si="9"/>
        <v/>
      </c>
      <c r="AD30" s="11" t="str">
        <f t="shared" si="10"/>
        <v/>
      </c>
      <c r="AE30" s="11" t="str">
        <f t="shared" si="11"/>
        <v/>
      </c>
      <c r="AF30" s="11" t="str">
        <f t="shared" si="12"/>
        <v/>
      </c>
      <c r="AG30" s="6" t="str">
        <f>IF(B30&lt;&gt;"",Segédlet!N26+Segédlet!O26+Segédlet!R26+AF30+AE30,"")</f>
        <v/>
      </c>
    </row>
    <row r="31" spans="1:33" s="7" customFormat="1" x14ac:dyDescent="0.2">
      <c r="A31" s="9" t="str">
        <f t="shared" si="19"/>
        <v xml:space="preserve"> </v>
      </c>
      <c r="B31" s="10"/>
      <c r="C31" s="18"/>
      <c r="D31" s="21" t="str">
        <f>IF(C31&lt;&gt;"",INDEX(Segédlet!$B$5:$B$37,MATCH(C31,Segédlet!$C$5:$C$37,0)),"")</f>
        <v/>
      </c>
      <c r="E31" s="19"/>
      <c r="F31" s="8"/>
      <c r="G31" s="5" t="str">
        <f t="shared" si="20"/>
        <v/>
      </c>
      <c r="H31" s="8" t="str">
        <f t="shared" si="0"/>
        <v/>
      </c>
      <c r="I31" s="8" t="str">
        <f t="shared" si="1"/>
        <v/>
      </c>
      <c r="J31" s="8" t="str">
        <f t="shared" si="13"/>
        <v/>
      </c>
      <c r="K31" s="8" t="str">
        <f t="shared" si="2"/>
        <v/>
      </c>
      <c r="L31" s="8" t="str">
        <f t="shared" si="14"/>
        <v/>
      </c>
      <c r="M31" s="8" t="str">
        <f t="shared" si="15"/>
        <v/>
      </c>
      <c r="N31" s="11"/>
      <c r="O31" s="11" t="str">
        <f t="shared" si="3"/>
        <v/>
      </c>
      <c r="P31" s="20"/>
      <c r="Q31" s="6" t="str">
        <f>IF(B31&lt;&gt;"",IF(AND(I31&gt;0,U31&gt;0),(N31+K31-I31)*VLOOKUP(P31,Segédlet!$I$5:$J$12,2,0),(N31+K31)*VLOOKUP(P31,Segédlet!$I$5:$J$12,2,0)),"")</f>
        <v/>
      </c>
      <c r="R31" s="6" t="str">
        <f>IF(B31&lt;&gt;"",IF((L31+M31)&lt;=14,(L31+M31)*K31*VLOOKUP(C31,Segédlet!$C$5:$G$37,4,0),K31*14*VLOOKUP(C31,Segédlet!$C$5:$G$37,4,0)+((L31+M31)-14)*K31*VLOOKUP(C31,Segédlet!$C$5:$G$37,5,0)),"")</f>
        <v/>
      </c>
      <c r="S31" s="6" t="str">
        <f>IF(B31&lt;&gt;"",IF(G31&lt;=14,G31*N31*VLOOKUP(C31,Segédlet!$C$5:$G$37,2,0),N31*14*VLOOKUP(C31,Segédlet!$C$5:$G$37,2,0)+(G31-14)*N31*VLOOKUP(C31,Segédlet!$C$5:$G$37,3,0)),"")</f>
        <v/>
      </c>
      <c r="T31" s="12" t="str">
        <f t="shared" si="4"/>
        <v/>
      </c>
      <c r="U31" s="12" t="str">
        <f t="shared" si="5"/>
        <v/>
      </c>
      <c r="V31" s="12" t="str">
        <f t="shared" si="16"/>
        <v/>
      </c>
      <c r="W31" s="12" t="str">
        <f t="shared" si="6"/>
        <v/>
      </c>
      <c r="X31" s="51" t="str">
        <f t="shared" si="7"/>
        <v/>
      </c>
      <c r="Y31" s="22" t="str">
        <f t="shared" si="8"/>
        <v/>
      </c>
      <c r="Z31" s="126" t="str">
        <f>IF(B31&lt;&gt;"",IF(B31=Segédlet!$L$6,"Jogosult igényelni","Nem jogosult igényelni"),"")</f>
        <v/>
      </c>
      <c r="AA31" s="11" t="str">
        <f t="shared" si="17"/>
        <v/>
      </c>
      <c r="AB31" s="11" t="str">
        <f t="shared" si="18"/>
        <v/>
      </c>
      <c r="AC31" s="11" t="str">
        <f t="shared" si="9"/>
        <v/>
      </c>
      <c r="AD31" s="11" t="str">
        <f t="shared" si="10"/>
        <v/>
      </c>
      <c r="AE31" s="11" t="str">
        <f t="shared" si="11"/>
        <v/>
      </c>
      <c r="AF31" s="11" t="str">
        <f t="shared" si="12"/>
        <v/>
      </c>
      <c r="AG31" s="6" t="str">
        <f>IF(B31&lt;&gt;"",Segédlet!N27+Segédlet!O27+Segédlet!R27+AF31+AE31,"")</f>
        <v/>
      </c>
    </row>
    <row r="32" spans="1:33" s="7" customFormat="1" x14ac:dyDescent="0.2">
      <c r="A32" s="9" t="str">
        <f t="shared" si="19"/>
        <v xml:space="preserve"> </v>
      </c>
      <c r="B32" s="10"/>
      <c r="C32" s="18"/>
      <c r="D32" s="21" t="str">
        <f>IF(C32&lt;&gt;"",INDEX(Segédlet!$B$5:$B$37,MATCH(C32,Segédlet!$C$5:$C$37,0)),"")</f>
        <v/>
      </c>
      <c r="E32" s="19"/>
      <c r="F32" s="8"/>
      <c r="G32" s="5" t="str">
        <f t="shared" si="20"/>
        <v/>
      </c>
      <c r="H32" s="8" t="str">
        <f t="shared" si="0"/>
        <v/>
      </c>
      <c r="I32" s="8" t="str">
        <f t="shared" si="1"/>
        <v/>
      </c>
      <c r="J32" s="8" t="str">
        <f t="shared" si="13"/>
        <v/>
      </c>
      <c r="K32" s="8" t="str">
        <f t="shared" si="2"/>
        <v/>
      </c>
      <c r="L32" s="8" t="str">
        <f t="shared" si="14"/>
        <v/>
      </c>
      <c r="M32" s="8" t="str">
        <f t="shared" si="15"/>
        <v/>
      </c>
      <c r="N32" s="11"/>
      <c r="O32" s="11" t="str">
        <f t="shared" si="3"/>
        <v/>
      </c>
      <c r="P32" s="20"/>
      <c r="Q32" s="6" t="str">
        <f>IF(B32&lt;&gt;"",IF(AND(I32&gt;0,U32&gt;0),(N32+K32-I32)*VLOOKUP(P32,Segédlet!$I$5:$J$12,2,0),(N32+K32)*VLOOKUP(P32,Segédlet!$I$5:$J$12,2,0)),"")</f>
        <v/>
      </c>
      <c r="R32" s="6" t="str">
        <f>IF(B32&lt;&gt;"",IF((L32+M32)&lt;=14,(L32+M32)*K32*VLOOKUP(C32,Segédlet!$C$5:$G$37,4,0),K32*14*VLOOKUP(C32,Segédlet!$C$5:$G$37,4,0)+((L32+M32)-14)*K32*VLOOKUP(C32,Segédlet!$C$5:$G$37,5,0)),"")</f>
        <v/>
      </c>
      <c r="S32" s="6" t="str">
        <f>IF(B32&lt;&gt;"",IF(G32&lt;=14,G32*N32*VLOOKUP(C32,Segédlet!$C$5:$G$37,2,0),N32*14*VLOOKUP(C32,Segédlet!$C$5:$G$37,2,0)+(G32-14)*N32*VLOOKUP(C32,Segédlet!$C$5:$G$37,3,0)),"")</f>
        <v/>
      </c>
      <c r="T32" s="12" t="str">
        <f t="shared" si="4"/>
        <v/>
      </c>
      <c r="U32" s="12" t="str">
        <f t="shared" si="5"/>
        <v/>
      </c>
      <c r="V32" s="12" t="str">
        <f t="shared" si="16"/>
        <v/>
      </c>
      <c r="W32" s="12" t="str">
        <f t="shared" si="6"/>
        <v/>
      </c>
      <c r="X32" s="51" t="str">
        <f t="shared" si="7"/>
        <v/>
      </c>
      <c r="Y32" s="22" t="str">
        <f t="shared" si="8"/>
        <v/>
      </c>
      <c r="Z32" s="126" t="str">
        <f>IF(B32&lt;&gt;"",IF(B32=Segédlet!$L$6,"Jogosult igényelni","Nem jogosult igényelni"),"")</f>
        <v/>
      </c>
      <c r="AA32" s="11" t="str">
        <f t="shared" si="17"/>
        <v/>
      </c>
      <c r="AB32" s="11" t="str">
        <f t="shared" si="18"/>
        <v/>
      </c>
      <c r="AC32" s="11" t="str">
        <f t="shared" si="9"/>
        <v/>
      </c>
      <c r="AD32" s="11" t="str">
        <f t="shared" si="10"/>
        <v/>
      </c>
      <c r="AE32" s="11" t="str">
        <f t="shared" si="11"/>
        <v/>
      </c>
      <c r="AF32" s="11" t="str">
        <f t="shared" si="12"/>
        <v/>
      </c>
      <c r="AG32" s="6" t="str">
        <f>IF(B32&lt;&gt;"",Segédlet!N28+Segédlet!O28+Segédlet!R28+AF32+AE32,"")</f>
        <v/>
      </c>
    </row>
    <row r="33" spans="1:33" s="7" customFormat="1" x14ac:dyDescent="0.2">
      <c r="A33" s="9" t="str">
        <f t="shared" si="19"/>
        <v xml:space="preserve"> </v>
      </c>
      <c r="B33" s="10"/>
      <c r="C33" s="18"/>
      <c r="D33" s="21" t="str">
        <f>IF(C33&lt;&gt;"",INDEX(Segédlet!$B$5:$B$37,MATCH(C33,Segédlet!$C$5:$C$37,0)),"")</f>
        <v/>
      </c>
      <c r="E33" s="19"/>
      <c r="F33" s="8"/>
      <c r="G33" s="5" t="str">
        <f t="shared" si="20"/>
        <v/>
      </c>
      <c r="H33" s="8" t="str">
        <f t="shared" si="0"/>
        <v/>
      </c>
      <c r="I33" s="8" t="str">
        <f t="shared" si="1"/>
        <v/>
      </c>
      <c r="J33" s="8" t="str">
        <f t="shared" si="13"/>
        <v/>
      </c>
      <c r="K33" s="8" t="str">
        <f t="shared" si="2"/>
        <v/>
      </c>
      <c r="L33" s="8" t="str">
        <f t="shared" si="14"/>
        <v/>
      </c>
      <c r="M33" s="8" t="str">
        <f t="shared" si="15"/>
        <v/>
      </c>
      <c r="N33" s="11"/>
      <c r="O33" s="11" t="str">
        <f t="shared" si="3"/>
        <v/>
      </c>
      <c r="P33" s="20"/>
      <c r="Q33" s="6" t="str">
        <f>IF(B33&lt;&gt;"",IF(AND(I33&gt;0,U33&gt;0),(N33+K33-I33)*VLOOKUP(P33,Segédlet!$I$5:$J$12,2,0),(N33+K33)*VLOOKUP(P33,Segédlet!$I$5:$J$12,2,0)),"")</f>
        <v/>
      </c>
      <c r="R33" s="6" t="str">
        <f>IF(B33&lt;&gt;"",IF((L33+M33)&lt;=14,(L33+M33)*K33*VLOOKUP(C33,Segédlet!$C$5:$G$37,4,0),K33*14*VLOOKUP(C33,Segédlet!$C$5:$G$37,4,0)+((L33+M33)-14)*K33*VLOOKUP(C33,Segédlet!$C$5:$G$37,5,0)),"")</f>
        <v/>
      </c>
      <c r="S33" s="6" t="str">
        <f>IF(B33&lt;&gt;"",IF(G33&lt;=14,G33*N33*VLOOKUP(C33,Segédlet!$C$5:$G$37,2,0),N33*14*VLOOKUP(C33,Segédlet!$C$5:$G$37,2,0)+(G33-14)*N33*VLOOKUP(C33,Segédlet!$C$5:$G$37,3,0)),"")</f>
        <v/>
      </c>
      <c r="T33" s="12" t="str">
        <f t="shared" si="4"/>
        <v/>
      </c>
      <c r="U33" s="12" t="str">
        <f t="shared" si="5"/>
        <v/>
      </c>
      <c r="V33" s="12" t="str">
        <f t="shared" si="16"/>
        <v/>
      </c>
      <c r="W33" s="12" t="str">
        <f t="shared" si="6"/>
        <v/>
      </c>
      <c r="X33" s="51" t="str">
        <f t="shared" si="7"/>
        <v/>
      </c>
      <c r="Y33" s="22" t="str">
        <f t="shared" si="8"/>
        <v/>
      </c>
      <c r="Z33" s="126" t="str">
        <f>IF(B33&lt;&gt;"",IF(B33=Segédlet!$L$6,"Jogosult igényelni","Nem jogosult igényelni"),"")</f>
        <v/>
      </c>
      <c r="AA33" s="11" t="str">
        <f t="shared" si="17"/>
        <v/>
      </c>
      <c r="AB33" s="11" t="str">
        <f t="shared" si="18"/>
        <v/>
      </c>
      <c r="AC33" s="11" t="str">
        <f t="shared" si="9"/>
        <v/>
      </c>
      <c r="AD33" s="11" t="str">
        <f t="shared" si="10"/>
        <v/>
      </c>
      <c r="AE33" s="11" t="str">
        <f t="shared" si="11"/>
        <v/>
      </c>
      <c r="AF33" s="11" t="str">
        <f t="shared" si="12"/>
        <v/>
      </c>
      <c r="AG33" s="6" t="str">
        <f>IF(B33&lt;&gt;"",Segédlet!N29+Segédlet!O29+Segédlet!R29+AF33+AE33,"")</f>
        <v/>
      </c>
    </row>
    <row r="34" spans="1:33" s="7" customFormat="1" x14ac:dyDescent="0.2">
      <c r="A34" s="9" t="str">
        <f t="shared" si="19"/>
        <v xml:space="preserve"> </v>
      </c>
      <c r="B34" s="10"/>
      <c r="C34" s="18"/>
      <c r="D34" s="21" t="str">
        <f>IF(C34&lt;&gt;"",INDEX(Segédlet!$B$5:$B$37,MATCH(C34,Segédlet!$C$5:$C$37,0)),"")</f>
        <v/>
      </c>
      <c r="E34" s="19"/>
      <c r="F34" s="8"/>
      <c r="G34" s="5" t="str">
        <f t="shared" si="20"/>
        <v/>
      </c>
      <c r="H34" s="8" t="str">
        <f t="shared" si="0"/>
        <v/>
      </c>
      <c r="I34" s="8" t="str">
        <f t="shared" si="1"/>
        <v/>
      </c>
      <c r="J34" s="8" t="str">
        <f t="shared" si="13"/>
        <v/>
      </c>
      <c r="K34" s="8" t="str">
        <f t="shared" si="2"/>
        <v/>
      </c>
      <c r="L34" s="8" t="str">
        <f t="shared" si="14"/>
        <v/>
      </c>
      <c r="M34" s="8" t="str">
        <f t="shared" si="15"/>
        <v/>
      </c>
      <c r="N34" s="11"/>
      <c r="O34" s="11" t="str">
        <f t="shared" si="3"/>
        <v/>
      </c>
      <c r="P34" s="20"/>
      <c r="Q34" s="6" t="str">
        <f>IF(B34&lt;&gt;"",IF(AND(I34&gt;0,U34&gt;0),(N34+K34-I34)*VLOOKUP(P34,Segédlet!$I$5:$J$12,2,0),(N34+K34)*VLOOKUP(P34,Segédlet!$I$5:$J$12,2,0)),"")</f>
        <v/>
      </c>
      <c r="R34" s="6" t="str">
        <f>IF(B34&lt;&gt;"",IF((L34+M34)&lt;=14,(L34+M34)*K34*VLOOKUP(C34,Segédlet!$C$5:$G$37,4,0),K34*14*VLOOKUP(C34,Segédlet!$C$5:$G$37,4,0)+((L34+M34)-14)*K34*VLOOKUP(C34,Segédlet!$C$5:$G$37,5,0)),"")</f>
        <v/>
      </c>
      <c r="S34" s="6" t="str">
        <f>IF(B34&lt;&gt;"",IF(G34&lt;=14,G34*N34*VLOOKUP(C34,Segédlet!$C$5:$G$37,2,0),N34*14*VLOOKUP(C34,Segédlet!$C$5:$G$37,2,0)+(G34-14)*N34*VLOOKUP(C34,Segédlet!$C$5:$G$37,3,0)),"")</f>
        <v/>
      </c>
      <c r="T34" s="12" t="str">
        <f t="shared" si="4"/>
        <v/>
      </c>
      <c r="U34" s="12" t="str">
        <f t="shared" si="5"/>
        <v/>
      </c>
      <c r="V34" s="12" t="str">
        <f t="shared" si="16"/>
        <v/>
      </c>
      <c r="W34" s="12" t="str">
        <f t="shared" si="6"/>
        <v/>
      </c>
      <c r="X34" s="51" t="str">
        <f t="shared" si="7"/>
        <v/>
      </c>
      <c r="Y34" s="22" t="str">
        <f t="shared" si="8"/>
        <v/>
      </c>
      <c r="Z34" s="126" t="str">
        <f>IF(B34&lt;&gt;"",IF(B34=Segédlet!$L$6,"Jogosult igényelni","Nem jogosult igényelni"),"")</f>
        <v/>
      </c>
      <c r="AA34" s="11" t="str">
        <f t="shared" si="17"/>
        <v/>
      </c>
      <c r="AB34" s="11" t="str">
        <f t="shared" si="18"/>
        <v/>
      </c>
      <c r="AC34" s="11" t="str">
        <f t="shared" si="9"/>
        <v/>
      </c>
      <c r="AD34" s="11" t="str">
        <f t="shared" si="10"/>
        <v/>
      </c>
      <c r="AE34" s="11" t="str">
        <f t="shared" si="11"/>
        <v/>
      </c>
      <c r="AF34" s="11" t="str">
        <f t="shared" si="12"/>
        <v/>
      </c>
      <c r="AG34" s="6" t="str">
        <f>IF(B34&lt;&gt;"",Segédlet!N30+Segédlet!O30+Segédlet!R30+AF34+AE34,"")</f>
        <v/>
      </c>
    </row>
    <row r="35" spans="1:33" s="7" customFormat="1" x14ac:dyDescent="0.2">
      <c r="A35" s="9" t="str">
        <f t="shared" si="19"/>
        <v xml:space="preserve"> </v>
      </c>
      <c r="B35" s="10"/>
      <c r="C35" s="18"/>
      <c r="D35" s="21" t="str">
        <f>IF(C35&lt;&gt;"",INDEX(Segédlet!$B$5:$B$37,MATCH(C35,Segédlet!$C$5:$C$37,0)),"")</f>
        <v/>
      </c>
      <c r="E35" s="19"/>
      <c r="F35" s="8"/>
      <c r="G35" s="5" t="str">
        <f t="shared" si="20"/>
        <v/>
      </c>
      <c r="H35" s="8" t="str">
        <f t="shared" si="0"/>
        <v/>
      </c>
      <c r="I35" s="8" t="str">
        <f t="shared" si="1"/>
        <v/>
      </c>
      <c r="J35" s="8" t="str">
        <f t="shared" si="13"/>
        <v/>
      </c>
      <c r="K35" s="8" t="str">
        <f t="shared" si="2"/>
        <v/>
      </c>
      <c r="L35" s="8" t="str">
        <f t="shared" si="14"/>
        <v/>
      </c>
      <c r="M35" s="8" t="str">
        <f t="shared" si="15"/>
        <v/>
      </c>
      <c r="N35" s="11"/>
      <c r="O35" s="11" t="str">
        <f t="shared" si="3"/>
        <v/>
      </c>
      <c r="P35" s="20"/>
      <c r="Q35" s="6" t="str">
        <f>IF(B35&lt;&gt;"",IF(AND(I35&gt;0,U35&gt;0),(N35+K35-I35)*VLOOKUP(P35,Segédlet!$I$5:$J$12,2,0),(N35+K35)*VLOOKUP(P35,Segédlet!$I$5:$J$12,2,0)),"")</f>
        <v/>
      </c>
      <c r="R35" s="6" t="str">
        <f>IF(B35&lt;&gt;"",IF((L35+M35)&lt;=14,(L35+M35)*K35*VLOOKUP(C35,Segédlet!$C$5:$G$37,4,0),K35*14*VLOOKUP(C35,Segédlet!$C$5:$G$37,4,0)+((L35+M35)-14)*K35*VLOOKUP(C35,Segédlet!$C$5:$G$37,5,0)),"")</f>
        <v/>
      </c>
      <c r="S35" s="6" t="str">
        <f>IF(B35&lt;&gt;"",IF(G35&lt;=14,G35*N35*VLOOKUP(C35,Segédlet!$C$5:$G$37,2,0),N35*14*VLOOKUP(C35,Segédlet!$C$5:$G$37,2,0)+(G35-14)*N35*VLOOKUP(C35,Segédlet!$C$5:$G$37,3,0)),"")</f>
        <v/>
      </c>
      <c r="T35" s="12" t="str">
        <f t="shared" si="4"/>
        <v/>
      </c>
      <c r="U35" s="12" t="str">
        <f t="shared" si="5"/>
        <v/>
      </c>
      <c r="V35" s="12" t="str">
        <f t="shared" si="16"/>
        <v/>
      </c>
      <c r="W35" s="12" t="str">
        <f t="shared" si="6"/>
        <v/>
      </c>
      <c r="X35" s="51" t="str">
        <f t="shared" si="7"/>
        <v/>
      </c>
      <c r="Y35" s="22" t="str">
        <f t="shared" si="8"/>
        <v/>
      </c>
      <c r="Z35" s="126" t="str">
        <f>IF(B35&lt;&gt;"",IF(B35=Segédlet!$L$6,"Jogosult igényelni","Nem jogosult igényelni"),"")</f>
        <v/>
      </c>
      <c r="AA35" s="11" t="str">
        <f t="shared" si="17"/>
        <v/>
      </c>
      <c r="AB35" s="11" t="str">
        <f t="shared" si="18"/>
        <v/>
      </c>
      <c r="AC35" s="11" t="str">
        <f t="shared" si="9"/>
        <v/>
      </c>
      <c r="AD35" s="11" t="str">
        <f t="shared" si="10"/>
        <v/>
      </c>
      <c r="AE35" s="11" t="str">
        <f t="shared" si="11"/>
        <v/>
      </c>
      <c r="AF35" s="11" t="str">
        <f t="shared" si="12"/>
        <v/>
      </c>
      <c r="AG35" s="6" t="str">
        <f>IF(B35&lt;&gt;"",Segédlet!N31+Segédlet!O31+Segédlet!R31+AF35+AE35,"")</f>
        <v/>
      </c>
    </row>
    <row r="36" spans="1:33" s="7" customFormat="1" x14ac:dyDescent="0.2">
      <c r="A36" s="9" t="str">
        <f t="shared" si="19"/>
        <v xml:space="preserve"> </v>
      </c>
      <c r="B36" s="10"/>
      <c r="C36" s="18"/>
      <c r="D36" s="21" t="str">
        <f>IF(C36&lt;&gt;"",INDEX(Segédlet!$B$5:$B$37,MATCH(C36,Segédlet!$C$5:$C$37,0)),"")</f>
        <v/>
      </c>
      <c r="E36" s="19"/>
      <c r="F36" s="8"/>
      <c r="G36" s="5" t="str">
        <f t="shared" si="20"/>
        <v/>
      </c>
      <c r="H36" s="8" t="str">
        <f t="shared" si="0"/>
        <v/>
      </c>
      <c r="I36" s="8" t="str">
        <f t="shared" si="1"/>
        <v/>
      </c>
      <c r="J36" s="8" t="str">
        <f t="shared" si="13"/>
        <v/>
      </c>
      <c r="K36" s="8" t="str">
        <f t="shared" si="2"/>
        <v/>
      </c>
      <c r="L36" s="8" t="str">
        <f t="shared" si="14"/>
        <v/>
      </c>
      <c r="M36" s="8" t="str">
        <f t="shared" si="15"/>
        <v/>
      </c>
      <c r="N36" s="11"/>
      <c r="O36" s="11" t="str">
        <f t="shared" si="3"/>
        <v/>
      </c>
      <c r="P36" s="20"/>
      <c r="Q36" s="6" t="str">
        <f>IF(B36&lt;&gt;"",IF(AND(I36&gt;0,U36&gt;0),(N36+K36-I36)*VLOOKUP(P36,Segédlet!$I$5:$J$12,2,0),(N36+K36)*VLOOKUP(P36,Segédlet!$I$5:$J$12,2,0)),"")</f>
        <v/>
      </c>
      <c r="R36" s="6" t="str">
        <f>IF(B36&lt;&gt;"",IF((L36+M36)&lt;=14,(L36+M36)*K36*VLOOKUP(C36,Segédlet!$C$5:$G$37,4,0),K36*14*VLOOKUP(C36,Segédlet!$C$5:$G$37,4,0)+((L36+M36)-14)*K36*VLOOKUP(C36,Segédlet!$C$5:$G$37,5,0)),"")</f>
        <v/>
      </c>
      <c r="S36" s="6" t="str">
        <f>IF(B36&lt;&gt;"",IF(G36&lt;=14,G36*N36*VLOOKUP(C36,Segédlet!$C$5:$G$37,2,0),N36*14*VLOOKUP(C36,Segédlet!$C$5:$G$37,2,0)+(G36-14)*N36*VLOOKUP(C36,Segédlet!$C$5:$G$37,3,0)),"")</f>
        <v/>
      </c>
      <c r="T36" s="12" t="str">
        <f t="shared" si="4"/>
        <v/>
      </c>
      <c r="U36" s="12" t="str">
        <f t="shared" si="5"/>
        <v/>
      </c>
      <c r="V36" s="12" t="str">
        <f t="shared" si="16"/>
        <v/>
      </c>
      <c r="W36" s="12" t="str">
        <f t="shared" si="6"/>
        <v/>
      </c>
      <c r="X36" s="51" t="str">
        <f t="shared" si="7"/>
        <v/>
      </c>
      <c r="Y36" s="22" t="str">
        <f t="shared" si="8"/>
        <v/>
      </c>
      <c r="Z36" s="126" t="str">
        <f>IF(B36&lt;&gt;"",IF(B36=Segédlet!$L$6,"Jogosult igényelni","Nem jogosult igényelni"),"")</f>
        <v/>
      </c>
      <c r="AA36" s="11" t="str">
        <f t="shared" si="17"/>
        <v/>
      </c>
      <c r="AB36" s="11" t="str">
        <f t="shared" si="18"/>
        <v/>
      </c>
      <c r="AC36" s="11" t="str">
        <f t="shared" si="9"/>
        <v/>
      </c>
      <c r="AD36" s="11" t="str">
        <f t="shared" si="10"/>
        <v/>
      </c>
      <c r="AE36" s="11" t="str">
        <f t="shared" si="11"/>
        <v/>
      </c>
      <c r="AF36" s="11" t="str">
        <f t="shared" si="12"/>
        <v/>
      </c>
      <c r="AG36" s="6" t="str">
        <f>IF(B36&lt;&gt;"",Segédlet!N32+Segédlet!O32+Segédlet!R32+AF36+AE36,"")</f>
        <v/>
      </c>
    </row>
    <row r="37" spans="1:33" s="7" customFormat="1" x14ac:dyDescent="0.2">
      <c r="A37" s="9" t="str">
        <f t="shared" si="19"/>
        <v xml:space="preserve"> </v>
      </c>
      <c r="B37" s="10"/>
      <c r="C37" s="18"/>
      <c r="D37" s="21" t="str">
        <f>IF(C37&lt;&gt;"",INDEX(Segédlet!$B$5:$B$37,MATCH(C37,Segédlet!$C$5:$C$37,0)),"")</f>
        <v/>
      </c>
      <c r="E37" s="19"/>
      <c r="F37" s="8"/>
      <c r="G37" s="5" t="str">
        <f t="shared" si="20"/>
        <v/>
      </c>
      <c r="H37" s="8" t="str">
        <f t="shared" si="0"/>
        <v/>
      </c>
      <c r="I37" s="8" t="str">
        <f t="shared" si="1"/>
        <v/>
      </c>
      <c r="J37" s="8" t="str">
        <f t="shared" si="13"/>
        <v/>
      </c>
      <c r="K37" s="8" t="str">
        <f t="shared" si="2"/>
        <v/>
      </c>
      <c r="L37" s="8" t="str">
        <f t="shared" si="14"/>
        <v/>
      </c>
      <c r="M37" s="8" t="str">
        <f t="shared" si="15"/>
        <v/>
      </c>
      <c r="N37" s="11"/>
      <c r="O37" s="11" t="str">
        <f t="shared" si="3"/>
        <v/>
      </c>
      <c r="P37" s="20"/>
      <c r="Q37" s="6" t="str">
        <f>IF(B37&lt;&gt;"",IF(AND(I37&gt;0,U37&gt;0),(N37+K37-I37)*VLOOKUP(P37,Segédlet!$I$5:$J$12,2,0),(N37+K37)*VLOOKUP(P37,Segédlet!$I$5:$J$12,2,0)),"")</f>
        <v/>
      </c>
      <c r="R37" s="6" t="str">
        <f>IF(B37&lt;&gt;"",IF((L37+M37)&lt;=14,(L37+M37)*K37*VLOOKUP(C37,Segédlet!$C$5:$G$37,4,0),K37*14*VLOOKUP(C37,Segédlet!$C$5:$G$37,4,0)+((L37+M37)-14)*K37*VLOOKUP(C37,Segédlet!$C$5:$G$37,5,0)),"")</f>
        <v/>
      </c>
      <c r="S37" s="6" t="str">
        <f>IF(B37&lt;&gt;"",IF(G37&lt;=14,G37*N37*VLOOKUP(C37,Segédlet!$C$5:$G$37,2,0),N37*14*VLOOKUP(C37,Segédlet!$C$5:$G$37,2,0)+(G37-14)*N37*VLOOKUP(C37,Segédlet!$C$5:$G$37,3,0)),"")</f>
        <v/>
      </c>
      <c r="T37" s="12" t="str">
        <f t="shared" si="4"/>
        <v/>
      </c>
      <c r="U37" s="12" t="str">
        <f t="shared" si="5"/>
        <v/>
      </c>
      <c r="V37" s="12" t="str">
        <f t="shared" si="16"/>
        <v/>
      </c>
      <c r="W37" s="12" t="str">
        <f t="shared" si="6"/>
        <v/>
      </c>
      <c r="X37" s="51" t="str">
        <f t="shared" si="7"/>
        <v/>
      </c>
      <c r="Y37" s="22" t="str">
        <f t="shared" si="8"/>
        <v/>
      </c>
      <c r="Z37" s="126" t="str">
        <f>IF(B37&lt;&gt;"",IF(B37=Segédlet!$L$6,"Jogosult igényelni","Nem jogosult igényelni"),"")</f>
        <v/>
      </c>
      <c r="AA37" s="11" t="str">
        <f t="shared" si="17"/>
        <v/>
      </c>
      <c r="AB37" s="11" t="str">
        <f t="shared" si="18"/>
        <v/>
      </c>
      <c r="AC37" s="11" t="str">
        <f t="shared" si="9"/>
        <v/>
      </c>
      <c r="AD37" s="11" t="str">
        <f t="shared" si="10"/>
        <v/>
      </c>
      <c r="AE37" s="11" t="str">
        <f t="shared" si="11"/>
        <v/>
      </c>
      <c r="AF37" s="11" t="str">
        <f t="shared" si="12"/>
        <v/>
      </c>
      <c r="AG37" s="6" t="str">
        <f>IF(B37&lt;&gt;"",Segédlet!N33+Segédlet!O33+Segédlet!R33+AF37+AE37,"")</f>
        <v/>
      </c>
    </row>
    <row r="38" spans="1:33" s="7" customFormat="1" x14ac:dyDescent="0.2">
      <c r="A38" s="9" t="str">
        <f t="shared" si="19"/>
        <v xml:space="preserve"> </v>
      </c>
      <c r="B38" s="10"/>
      <c r="C38" s="18"/>
      <c r="D38" s="21" t="str">
        <f>IF(C38&lt;&gt;"",INDEX(Segédlet!$B$5:$B$37,MATCH(C38,Segédlet!$C$5:$C$37,0)),"")</f>
        <v/>
      </c>
      <c r="E38" s="19"/>
      <c r="F38" s="8"/>
      <c r="G38" s="5" t="str">
        <f t="shared" si="20"/>
        <v/>
      </c>
      <c r="H38" s="8" t="str">
        <f t="shared" si="0"/>
        <v/>
      </c>
      <c r="I38" s="8" t="str">
        <f t="shared" si="1"/>
        <v/>
      </c>
      <c r="J38" s="8" t="str">
        <f t="shared" si="13"/>
        <v/>
      </c>
      <c r="K38" s="8" t="str">
        <f t="shared" si="2"/>
        <v/>
      </c>
      <c r="L38" s="8" t="str">
        <f t="shared" si="14"/>
        <v/>
      </c>
      <c r="M38" s="8" t="str">
        <f t="shared" si="15"/>
        <v/>
      </c>
      <c r="N38" s="11"/>
      <c r="O38" s="11" t="str">
        <f t="shared" si="3"/>
        <v/>
      </c>
      <c r="P38" s="20"/>
      <c r="Q38" s="6" t="str">
        <f>IF(B38&lt;&gt;"",IF(AND(I38&gt;0,U38&gt;0),(N38+K38-I38)*VLOOKUP(P38,Segédlet!$I$5:$J$12,2,0),(N38+K38)*VLOOKUP(P38,Segédlet!$I$5:$J$12,2,0)),"")</f>
        <v/>
      </c>
      <c r="R38" s="6" t="str">
        <f>IF(B38&lt;&gt;"",IF((L38+M38)&lt;=14,(L38+M38)*K38*VLOOKUP(C38,Segédlet!$C$5:$G$37,4,0),K38*14*VLOOKUP(C38,Segédlet!$C$5:$G$37,4,0)+((L38+M38)-14)*K38*VLOOKUP(C38,Segédlet!$C$5:$G$37,5,0)),"")</f>
        <v/>
      </c>
      <c r="S38" s="6" t="str">
        <f>IF(B38&lt;&gt;"",IF(G38&lt;=14,G38*N38*VLOOKUP(C38,Segédlet!$C$5:$G$37,2,0),N38*14*VLOOKUP(C38,Segédlet!$C$5:$G$37,2,0)+(G38-14)*N38*VLOOKUP(C38,Segédlet!$C$5:$G$37,3,0)),"")</f>
        <v/>
      </c>
      <c r="T38" s="12" t="str">
        <f t="shared" si="4"/>
        <v/>
      </c>
      <c r="U38" s="12" t="str">
        <f t="shared" si="5"/>
        <v/>
      </c>
      <c r="V38" s="12" t="str">
        <f t="shared" si="16"/>
        <v/>
      </c>
      <c r="W38" s="12" t="str">
        <f t="shared" si="6"/>
        <v/>
      </c>
      <c r="X38" s="51" t="str">
        <f t="shared" si="7"/>
        <v/>
      </c>
      <c r="Y38" s="22" t="str">
        <f t="shared" si="8"/>
        <v/>
      </c>
      <c r="Z38" s="126" t="str">
        <f>IF(B38&lt;&gt;"",IF(B38=Segédlet!$L$6,"Jogosult igényelni","Nem jogosult igényelni"),"")</f>
        <v/>
      </c>
      <c r="AA38" s="11" t="str">
        <f t="shared" si="17"/>
        <v/>
      </c>
      <c r="AB38" s="11" t="str">
        <f t="shared" si="18"/>
        <v/>
      </c>
      <c r="AC38" s="11" t="str">
        <f t="shared" si="9"/>
        <v/>
      </c>
      <c r="AD38" s="11" t="str">
        <f t="shared" si="10"/>
        <v/>
      </c>
      <c r="AE38" s="11" t="str">
        <f t="shared" si="11"/>
        <v/>
      </c>
      <c r="AF38" s="11" t="str">
        <f t="shared" si="12"/>
        <v/>
      </c>
      <c r="AG38" s="6" t="str">
        <f>IF(B38&lt;&gt;"",Segédlet!N34+Segédlet!O34+Segédlet!R34+AF38+AE38,"")</f>
        <v/>
      </c>
    </row>
    <row r="39" spans="1:33" s="7" customFormat="1" x14ac:dyDescent="0.2">
      <c r="A39" s="9" t="str">
        <f t="shared" si="19"/>
        <v xml:space="preserve"> </v>
      </c>
      <c r="B39" s="10"/>
      <c r="C39" s="18"/>
      <c r="D39" s="21" t="str">
        <f>IF(C39&lt;&gt;"",INDEX(Segédlet!$B$5:$B$37,MATCH(C39,Segédlet!$C$5:$C$37,0)),"")</f>
        <v/>
      </c>
      <c r="E39" s="19"/>
      <c r="F39" s="8"/>
      <c r="G39" s="5" t="str">
        <f t="shared" ref="G39:G70" si="21">IF(B39&lt;&gt;"",E39+F39,"")</f>
        <v/>
      </c>
      <c r="H39" s="8" t="str">
        <f t="shared" ref="H39:H70" si="22">IF(B39&lt;&gt;"",0,"")</f>
        <v/>
      </c>
      <c r="I39" s="8" t="str">
        <f t="shared" si="1"/>
        <v/>
      </c>
      <c r="J39" s="8" t="str">
        <f t="shared" si="13"/>
        <v/>
      </c>
      <c r="K39" s="8" t="str">
        <f t="shared" si="2"/>
        <v/>
      </c>
      <c r="L39" s="8" t="str">
        <f t="shared" si="14"/>
        <v/>
      </c>
      <c r="M39" s="8" t="str">
        <f t="shared" si="15"/>
        <v/>
      </c>
      <c r="N39" s="11"/>
      <c r="O39" s="11" t="str">
        <f t="shared" ref="O39:O70" si="23">IF(B39&lt;&gt;"",0,"")</f>
        <v/>
      </c>
      <c r="P39" s="20"/>
      <c r="Q39" s="6" t="str">
        <f>IF(B39&lt;&gt;"",IF(AND(I39&gt;0,U39&gt;0),(N39+K39-I39)*VLOOKUP(P39,Segédlet!$I$5:$J$12,2,0),(N39+K39)*VLOOKUP(P39,Segédlet!$I$5:$J$12,2,0)),"")</f>
        <v/>
      </c>
      <c r="R39" s="6" t="str">
        <f>IF(B39&lt;&gt;"",IF((L39+M39)&lt;=14,(L39+M39)*K39*VLOOKUP(C39,Segédlet!$C$5:$G$37,4,0),K39*14*VLOOKUP(C39,Segédlet!$C$5:$G$37,4,0)+((L39+M39)-14)*K39*VLOOKUP(C39,Segédlet!$C$5:$G$37,5,0)),"")</f>
        <v/>
      </c>
      <c r="S39" s="6" t="str">
        <f>IF(B39&lt;&gt;"",IF(G39&lt;=14,G39*N39*VLOOKUP(C39,Segédlet!$C$5:$G$37,2,0),N39*14*VLOOKUP(C39,Segédlet!$C$5:$G$37,2,0)+(G39-14)*N39*VLOOKUP(C39,Segédlet!$C$5:$G$37,3,0)),"")</f>
        <v/>
      </c>
      <c r="T39" s="12" t="str">
        <f t="shared" ref="T39:T70" si="24">IF(B39&lt;&gt;"",0,"")</f>
        <v/>
      </c>
      <c r="U39" s="12" t="str">
        <f t="shared" ref="U39:U70" si="25">IF(B39&lt;&gt;"",0,"")</f>
        <v/>
      </c>
      <c r="V39" s="12" t="str">
        <f t="shared" si="16"/>
        <v/>
      </c>
      <c r="W39" s="12" t="str">
        <f t="shared" ref="W39:W70" si="26">IF(B39&lt;&gt;"",0,"")</f>
        <v/>
      </c>
      <c r="X39" s="51" t="str">
        <f t="shared" ref="X39:X70" si="27">IF(B39&lt;&gt;"",W39*150,"")</f>
        <v/>
      </c>
      <c r="Y39" s="22" t="str">
        <f t="shared" ref="Y39:Y70" si="28">IF(B39&lt;&gt;"",SUM(Q39:U39),"")</f>
        <v/>
      </c>
      <c r="Z39" s="126" t="str">
        <f>IF(B39&lt;&gt;"",IF(B39=Segédlet!$L$6,"Jogosult igényelni","Nem jogosult igényelni"),"")</f>
        <v/>
      </c>
      <c r="AA39" s="11" t="str">
        <f t="shared" si="17"/>
        <v/>
      </c>
      <c r="AB39" s="11" t="str">
        <f t="shared" si="18"/>
        <v/>
      </c>
      <c r="AC39" s="11" t="str">
        <f t="shared" ref="AC39:AC71" si="29">IF(B39&lt;&gt;"",0,"")</f>
        <v/>
      </c>
      <c r="AD39" s="11" t="str">
        <f t="shared" ref="AD39:AD71" si="30">IF(B39&lt;&gt;"",0,"")</f>
        <v/>
      </c>
      <c r="AE39" s="11" t="str">
        <f t="shared" ref="AE39:AE71" si="31">IF(B39&lt;&gt;"",0,"")</f>
        <v/>
      </c>
      <c r="AF39" s="11" t="str">
        <f t="shared" ref="AF39:AF71" si="32">IF(B39&lt;&gt;"",0,"")</f>
        <v/>
      </c>
      <c r="AG39" s="6" t="str">
        <f>IF(B39&lt;&gt;"",Segédlet!N35+Segédlet!O35+Segédlet!R35+AF39+AE39,"")</f>
        <v/>
      </c>
    </row>
    <row r="40" spans="1:33" s="7" customFormat="1" x14ac:dyDescent="0.2">
      <c r="A40" s="9" t="str">
        <f t="shared" si="19"/>
        <v xml:space="preserve"> </v>
      </c>
      <c r="B40" s="10"/>
      <c r="C40" s="18"/>
      <c r="D40" s="21" t="str">
        <f>IF(C40&lt;&gt;"",INDEX(Segédlet!$B$5:$B$37,MATCH(C40,Segédlet!$C$5:$C$37,0)),"")</f>
        <v/>
      </c>
      <c r="E40" s="19"/>
      <c r="F40" s="8"/>
      <c r="G40" s="5" t="str">
        <f t="shared" si="21"/>
        <v/>
      </c>
      <c r="H40" s="8" t="str">
        <f t="shared" si="22"/>
        <v/>
      </c>
      <c r="I40" s="8" t="str">
        <f t="shared" si="1"/>
        <v/>
      </c>
      <c r="J40" s="8" t="str">
        <f t="shared" si="13"/>
        <v/>
      </c>
      <c r="K40" s="8" t="str">
        <f t="shared" si="2"/>
        <v/>
      </c>
      <c r="L40" s="8" t="str">
        <f t="shared" si="14"/>
        <v/>
      </c>
      <c r="M40" s="8" t="str">
        <f t="shared" si="15"/>
        <v/>
      </c>
      <c r="N40" s="11"/>
      <c r="O40" s="11" t="str">
        <f t="shared" si="23"/>
        <v/>
      </c>
      <c r="P40" s="20"/>
      <c r="Q40" s="6" t="str">
        <f>IF(B40&lt;&gt;"",IF(AND(I40&gt;0,U40&gt;0),(N40+K40-I40)*VLOOKUP(P40,Segédlet!$I$5:$J$12,2,0),(N40+K40)*VLOOKUP(P40,Segédlet!$I$5:$J$12,2,0)),"")</f>
        <v/>
      </c>
      <c r="R40" s="6" t="str">
        <f>IF(B40&lt;&gt;"",IF((L40+M40)&lt;=14,(L40+M40)*K40*VLOOKUP(C40,Segédlet!$C$5:$G$37,4,0),K40*14*VLOOKUP(C40,Segédlet!$C$5:$G$37,4,0)+((L40+M40)-14)*K40*VLOOKUP(C40,Segédlet!$C$5:$G$37,5,0)),"")</f>
        <v/>
      </c>
      <c r="S40" s="6" t="str">
        <f>IF(B40&lt;&gt;"",IF(G40&lt;=14,G40*N40*VLOOKUP(C40,Segédlet!$C$5:$G$37,2,0),N40*14*VLOOKUP(C40,Segédlet!$C$5:$G$37,2,0)+(G40-14)*N40*VLOOKUP(C40,Segédlet!$C$5:$G$37,3,0)),"")</f>
        <v/>
      </c>
      <c r="T40" s="12" t="str">
        <f t="shared" si="24"/>
        <v/>
      </c>
      <c r="U40" s="12" t="str">
        <f t="shared" si="25"/>
        <v/>
      </c>
      <c r="V40" s="12" t="str">
        <f t="shared" si="16"/>
        <v/>
      </c>
      <c r="W40" s="12" t="str">
        <f t="shared" si="26"/>
        <v/>
      </c>
      <c r="X40" s="51" t="str">
        <f t="shared" si="27"/>
        <v/>
      </c>
      <c r="Y40" s="22" t="str">
        <f t="shared" si="28"/>
        <v/>
      </c>
      <c r="Z40" s="126" t="str">
        <f>IF(B40&lt;&gt;"",IF(B40=Segédlet!$L$6,"Jogosult igényelni","Nem jogosult igényelni"),"")</f>
        <v/>
      </c>
      <c r="AA40" s="11" t="str">
        <f t="shared" si="17"/>
        <v/>
      </c>
      <c r="AB40" s="11" t="str">
        <f t="shared" si="18"/>
        <v/>
      </c>
      <c r="AC40" s="11" t="str">
        <f t="shared" si="29"/>
        <v/>
      </c>
      <c r="AD40" s="11" t="str">
        <f t="shared" si="30"/>
        <v/>
      </c>
      <c r="AE40" s="11" t="str">
        <f t="shared" si="31"/>
        <v/>
      </c>
      <c r="AF40" s="11" t="str">
        <f t="shared" si="32"/>
        <v/>
      </c>
      <c r="AG40" s="6" t="str">
        <f>IF(B40&lt;&gt;"",Segédlet!N36+Segédlet!O36+Segédlet!R36+AF40+AE40,"")</f>
        <v/>
      </c>
    </row>
    <row r="41" spans="1:33" s="7" customFormat="1" x14ac:dyDescent="0.2">
      <c r="A41" s="9" t="str">
        <f t="shared" si="19"/>
        <v xml:space="preserve"> </v>
      </c>
      <c r="B41" s="10"/>
      <c r="C41" s="18"/>
      <c r="D41" s="21" t="str">
        <f>IF(C41&lt;&gt;"",INDEX(Segédlet!$B$5:$B$37,MATCH(C41,Segédlet!$C$5:$C$37,0)),"")</f>
        <v/>
      </c>
      <c r="E41" s="19"/>
      <c r="F41" s="8"/>
      <c r="G41" s="5" t="str">
        <f t="shared" si="21"/>
        <v/>
      </c>
      <c r="H41" s="8" t="str">
        <f t="shared" si="22"/>
        <v/>
      </c>
      <c r="I41" s="8" t="str">
        <f t="shared" si="1"/>
        <v/>
      </c>
      <c r="J41" s="8" t="str">
        <f t="shared" si="13"/>
        <v/>
      </c>
      <c r="K41" s="8" t="str">
        <f t="shared" si="2"/>
        <v/>
      </c>
      <c r="L41" s="8" t="str">
        <f t="shared" si="14"/>
        <v/>
      </c>
      <c r="M41" s="8" t="str">
        <f t="shared" si="15"/>
        <v/>
      </c>
      <c r="N41" s="11"/>
      <c r="O41" s="11" t="str">
        <f t="shared" si="23"/>
        <v/>
      </c>
      <c r="P41" s="20"/>
      <c r="Q41" s="6" t="str">
        <f>IF(B41&lt;&gt;"",IF(AND(I41&gt;0,U41&gt;0),(N41+K41-I41)*VLOOKUP(P41,Segédlet!$I$5:$J$12,2,0),(N41+K41)*VLOOKUP(P41,Segédlet!$I$5:$J$12,2,0)),"")</f>
        <v/>
      </c>
      <c r="R41" s="6" t="str">
        <f>IF(B41&lt;&gt;"",IF((L41+M41)&lt;=14,(L41+M41)*K41*VLOOKUP(C41,Segédlet!$C$5:$G$37,4,0),K41*14*VLOOKUP(C41,Segédlet!$C$5:$G$37,4,0)+((L41+M41)-14)*K41*VLOOKUP(C41,Segédlet!$C$5:$G$37,5,0)),"")</f>
        <v/>
      </c>
      <c r="S41" s="6" t="str">
        <f>IF(B41&lt;&gt;"",IF(G41&lt;=14,G41*N41*VLOOKUP(C41,Segédlet!$C$5:$G$37,2,0),N41*14*VLOOKUP(C41,Segédlet!$C$5:$G$37,2,0)+(G41-14)*N41*VLOOKUP(C41,Segédlet!$C$5:$G$37,3,0)),"")</f>
        <v/>
      </c>
      <c r="T41" s="12" t="str">
        <f t="shared" si="24"/>
        <v/>
      </c>
      <c r="U41" s="12" t="str">
        <f t="shared" si="25"/>
        <v/>
      </c>
      <c r="V41" s="12" t="str">
        <f t="shared" si="16"/>
        <v/>
      </c>
      <c r="W41" s="12" t="str">
        <f t="shared" si="26"/>
        <v/>
      </c>
      <c r="X41" s="51" t="str">
        <f t="shared" si="27"/>
        <v/>
      </c>
      <c r="Y41" s="22" t="str">
        <f t="shared" si="28"/>
        <v/>
      </c>
      <c r="Z41" s="126" t="str">
        <f>IF(B41&lt;&gt;"",IF(B41=Segédlet!$L$6,"Jogosult igényelni","Nem jogosult igényelni"),"")</f>
        <v/>
      </c>
      <c r="AA41" s="11" t="str">
        <f t="shared" si="17"/>
        <v/>
      </c>
      <c r="AB41" s="11" t="str">
        <f t="shared" si="18"/>
        <v/>
      </c>
      <c r="AC41" s="11" t="str">
        <f t="shared" si="29"/>
        <v/>
      </c>
      <c r="AD41" s="11" t="str">
        <f t="shared" si="30"/>
        <v/>
      </c>
      <c r="AE41" s="11" t="str">
        <f t="shared" si="31"/>
        <v/>
      </c>
      <c r="AF41" s="11" t="str">
        <f t="shared" si="32"/>
        <v/>
      </c>
      <c r="AG41" s="6" t="str">
        <f>IF(B41&lt;&gt;"",Segédlet!N37+Segédlet!O37+Segédlet!R37+AF41+AE41,"")</f>
        <v/>
      </c>
    </row>
    <row r="42" spans="1:33" s="7" customFormat="1" x14ac:dyDescent="0.2">
      <c r="A42" s="9" t="str">
        <f t="shared" si="19"/>
        <v xml:space="preserve"> </v>
      </c>
      <c r="B42" s="10"/>
      <c r="C42" s="18"/>
      <c r="D42" s="21" t="str">
        <f>IF(C42&lt;&gt;"",INDEX(Segédlet!$B$5:$B$37,MATCH(C42,Segédlet!$C$5:$C$37,0)),"")</f>
        <v/>
      </c>
      <c r="E42" s="19"/>
      <c r="F42" s="8"/>
      <c r="G42" s="5" t="str">
        <f t="shared" si="21"/>
        <v/>
      </c>
      <c r="H42" s="8" t="str">
        <f t="shared" si="22"/>
        <v/>
      </c>
      <c r="I42" s="8" t="str">
        <f t="shared" si="1"/>
        <v/>
      </c>
      <c r="J42" s="8" t="str">
        <f t="shared" si="13"/>
        <v/>
      </c>
      <c r="K42" s="8" t="str">
        <f t="shared" si="2"/>
        <v/>
      </c>
      <c r="L42" s="8" t="str">
        <f t="shared" si="14"/>
        <v/>
      </c>
      <c r="M42" s="8" t="str">
        <f t="shared" si="15"/>
        <v/>
      </c>
      <c r="N42" s="11"/>
      <c r="O42" s="11" t="str">
        <f t="shared" si="23"/>
        <v/>
      </c>
      <c r="P42" s="20"/>
      <c r="Q42" s="6" t="str">
        <f>IF(B42&lt;&gt;"",IF(AND(I42&gt;0,U42&gt;0),(N42+K42-I42)*VLOOKUP(P42,Segédlet!$I$5:$J$12,2,0),(N42+K42)*VLOOKUP(P42,Segédlet!$I$5:$J$12,2,0)),"")</f>
        <v/>
      </c>
      <c r="R42" s="6" t="str">
        <f>IF(B42&lt;&gt;"",IF((L42+M42)&lt;=14,(L42+M42)*K42*VLOOKUP(C42,Segédlet!$C$5:$G$37,4,0),K42*14*VLOOKUP(C42,Segédlet!$C$5:$G$37,4,0)+((L42+M42)-14)*K42*VLOOKUP(C42,Segédlet!$C$5:$G$37,5,0)),"")</f>
        <v/>
      </c>
      <c r="S42" s="6" t="str">
        <f>IF(B42&lt;&gt;"",IF(G42&lt;=14,G42*N42*VLOOKUP(C42,Segédlet!$C$5:$G$37,2,0),N42*14*VLOOKUP(C42,Segédlet!$C$5:$G$37,2,0)+(G42-14)*N42*VLOOKUP(C42,Segédlet!$C$5:$G$37,3,0)),"")</f>
        <v/>
      </c>
      <c r="T42" s="12" t="str">
        <f t="shared" si="24"/>
        <v/>
      </c>
      <c r="U42" s="12" t="str">
        <f t="shared" si="25"/>
        <v/>
      </c>
      <c r="V42" s="12" t="str">
        <f t="shared" si="16"/>
        <v/>
      </c>
      <c r="W42" s="12" t="str">
        <f t="shared" si="26"/>
        <v/>
      </c>
      <c r="X42" s="51" t="str">
        <f t="shared" si="27"/>
        <v/>
      </c>
      <c r="Y42" s="22" t="str">
        <f t="shared" si="28"/>
        <v/>
      </c>
      <c r="Z42" s="126" t="str">
        <f>IF(B42&lt;&gt;"",IF(B42=Segédlet!$L$6,"Jogosult igényelni","Nem jogosult igényelni"),"")</f>
        <v/>
      </c>
      <c r="AA42" s="11" t="str">
        <f t="shared" si="17"/>
        <v/>
      </c>
      <c r="AB42" s="11" t="str">
        <f t="shared" si="18"/>
        <v/>
      </c>
      <c r="AC42" s="11" t="str">
        <f t="shared" si="29"/>
        <v/>
      </c>
      <c r="AD42" s="11" t="str">
        <f t="shared" si="30"/>
        <v/>
      </c>
      <c r="AE42" s="11" t="str">
        <f t="shared" si="31"/>
        <v/>
      </c>
      <c r="AF42" s="11" t="str">
        <f t="shared" si="32"/>
        <v/>
      </c>
      <c r="AG42" s="6" t="str">
        <f>IF(B42&lt;&gt;"",Segédlet!N38+Segédlet!O38+Segédlet!R38+AF42+AE42,"")</f>
        <v/>
      </c>
    </row>
    <row r="43" spans="1:33" s="7" customFormat="1" x14ac:dyDescent="0.2">
      <c r="A43" s="9" t="str">
        <f t="shared" si="19"/>
        <v xml:space="preserve"> </v>
      </c>
      <c r="B43" s="10"/>
      <c r="C43" s="18"/>
      <c r="D43" s="21" t="str">
        <f>IF(C43&lt;&gt;"",INDEX(Segédlet!$B$5:$B$37,MATCH(C43,Segédlet!$C$5:$C$37,0)),"")</f>
        <v/>
      </c>
      <c r="E43" s="19"/>
      <c r="F43" s="8"/>
      <c r="G43" s="5" t="str">
        <f t="shared" si="21"/>
        <v/>
      </c>
      <c r="H43" s="8" t="str">
        <f t="shared" si="22"/>
        <v/>
      </c>
      <c r="I43" s="8" t="str">
        <f t="shared" si="1"/>
        <v/>
      </c>
      <c r="J43" s="8" t="str">
        <f t="shared" si="13"/>
        <v/>
      </c>
      <c r="K43" s="8" t="str">
        <f t="shared" si="2"/>
        <v/>
      </c>
      <c r="L43" s="8" t="str">
        <f t="shared" si="14"/>
        <v/>
      </c>
      <c r="M43" s="8" t="str">
        <f t="shared" si="15"/>
        <v/>
      </c>
      <c r="N43" s="11"/>
      <c r="O43" s="11" t="str">
        <f t="shared" si="23"/>
        <v/>
      </c>
      <c r="P43" s="20"/>
      <c r="Q43" s="6" t="str">
        <f>IF(B43&lt;&gt;"",IF(AND(I43&gt;0,U43&gt;0),(N43+K43-I43)*VLOOKUP(P43,Segédlet!$I$5:$J$12,2,0),(N43+K43)*VLOOKUP(P43,Segédlet!$I$5:$J$12,2,0)),"")</f>
        <v/>
      </c>
      <c r="R43" s="6" t="str">
        <f>IF(B43&lt;&gt;"",IF((L43+M43)&lt;=14,(L43+M43)*K43*VLOOKUP(C43,Segédlet!$C$5:$G$37,4,0),K43*14*VLOOKUP(C43,Segédlet!$C$5:$G$37,4,0)+((L43+M43)-14)*K43*VLOOKUP(C43,Segédlet!$C$5:$G$37,5,0)),"")</f>
        <v/>
      </c>
      <c r="S43" s="6" t="str">
        <f>IF(B43&lt;&gt;"",IF(G43&lt;=14,G43*N43*VLOOKUP(C43,Segédlet!$C$5:$G$37,2,0),N43*14*VLOOKUP(C43,Segédlet!$C$5:$G$37,2,0)+(G43-14)*N43*VLOOKUP(C43,Segédlet!$C$5:$G$37,3,0)),"")</f>
        <v/>
      </c>
      <c r="T43" s="12" t="str">
        <f t="shared" si="24"/>
        <v/>
      </c>
      <c r="U43" s="12" t="str">
        <f t="shared" si="25"/>
        <v/>
      </c>
      <c r="V43" s="12" t="str">
        <f t="shared" si="16"/>
        <v/>
      </c>
      <c r="W43" s="12" t="str">
        <f t="shared" si="26"/>
        <v/>
      </c>
      <c r="X43" s="51" t="str">
        <f t="shared" si="27"/>
        <v/>
      </c>
      <c r="Y43" s="22" t="str">
        <f t="shared" si="28"/>
        <v/>
      </c>
      <c r="Z43" s="126" t="str">
        <f>IF(B43&lt;&gt;"",IF(B43=Segédlet!$L$6,"Jogosult igényelni","Nem jogosult igényelni"),"")</f>
        <v/>
      </c>
      <c r="AA43" s="11" t="str">
        <f t="shared" si="17"/>
        <v/>
      </c>
      <c r="AB43" s="11" t="str">
        <f t="shared" si="18"/>
        <v/>
      </c>
      <c r="AC43" s="11" t="str">
        <f t="shared" si="29"/>
        <v/>
      </c>
      <c r="AD43" s="11" t="str">
        <f t="shared" si="30"/>
        <v/>
      </c>
      <c r="AE43" s="11" t="str">
        <f t="shared" si="31"/>
        <v/>
      </c>
      <c r="AF43" s="11" t="str">
        <f t="shared" si="32"/>
        <v/>
      </c>
      <c r="AG43" s="6" t="str">
        <f>IF(B43&lt;&gt;"",Segédlet!N39+Segédlet!O39+Segédlet!R39+AF43+AE43,"")</f>
        <v/>
      </c>
    </row>
    <row r="44" spans="1:33" s="7" customFormat="1" x14ac:dyDescent="0.2">
      <c r="A44" s="9" t="str">
        <f t="shared" si="19"/>
        <v xml:space="preserve"> </v>
      </c>
      <c r="B44" s="10"/>
      <c r="C44" s="18"/>
      <c r="D44" s="21" t="str">
        <f>IF(C44&lt;&gt;"",INDEX(Segédlet!$B$5:$B$37,MATCH(C44,Segédlet!$C$5:$C$37,0)),"")</f>
        <v/>
      </c>
      <c r="E44" s="19"/>
      <c r="F44" s="8"/>
      <c r="G44" s="5" t="str">
        <f t="shared" si="21"/>
        <v/>
      </c>
      <c r="H44" s="8" t="str">
        <f t="shared" si="22"/>
        <v/>
      </c>
      <c r="I44" s="8" t="str">
        <f t="shared" si="1"/>
        <v/>
      </c>
      <c r="J44" s="8" t="str">
        <f t="shared" si="13"/>
        <v/>
      </c>
      <c r="K44" s="8" t="str">
        <f t="shared" si="2"/>
        <v/>
      </c>
      <c r="L44" s="8" t="str">
        <f t="shared" si="14"/>
        <v/>
      </c>
      <c r="M44" s="8" t="str">
        <f t="shared" si="15"/>
        <v/>
      </c>
      <c r="N44" s="11"/>
      <c r="O44" s="11" t="str">
        <f t="shared" si="23"/>
        <v/>
      </c>
      <c r="P44" s="20"/>
      <c r="Q44" s="6" t="str">
        <f>IF(B44&lt;&gt;"",IF(AND(I44&gt;0,U44&gt;0),(N44+K44-I44)*VLOOKUP(P44,Segédlet!$I$5:$J$12,2,0),(N44+K44)*VLOOKUP(P44,Segédlet!$I$5:$J$12,2,0)),"")</f>
        <v/>
      </c>
      <c r="R44" s="6" t="str">
        <f>IF(B44&lt;&gt;"",IF((L44+M44)&lt;=14,(L44+M44)*K44*VLOOKUP(C44,Segédlet!$C$5:$G$37,4,0),K44*14*VLOOKUP(C44,Segédlet!$C$5:$G$37,4,0)+((L44+M44)-14)*K44*VLOOKUP(C44,Segédlet!$C$5:$G$37,5,0)),"")</f>
        <v/>
      </c>
      <c r="S44" s="6" t="str">
        <f>IF(B44&lt;&gt;"",IF(G44&lt;=14,G44*N44*VLOOKUP(C44,Segédlet!$C$5:$G$37,2,0),N44*14*VLOOKUP(C44,Segédlet!$C$5:$G$37,2,0)+(G44-14)*N44*VLOOKUP(C44,Segédlet!$C$5:$G$37,3,0)),"")</f>
        <v/>
      </c>
      <c r="T44" s="12" t="str">
        <f t="shared" si="24"/>
        <v/>
      </c>
      <c r="U44" s="12" t="str">
        <f t="shared" si="25"/>
        <v/>
      </c>
      <c r="V44" s="12" t="str">
        <f t="shared" si="16"/>
        <v/>
      </c>
      <c r="W44" s="12" t="str">
        <f t="shared" si="26"/>
        <v/>
      </c>
      <c r="X44" s="51" t="str">
        <f t="shared" si="27"/>
        <v/>
      </c>
      <c r="Y44" s="22" t="str">
        <f t="shared" si="28"/>
        <v/>
      </c>
      <c r="Z44" s="126" t="str">
        <f>IF(B44&lt;&gt;"",IF(B44=Segédlet!$L$6,"Jogosult igényelni","Nem jogosult igényelni"),"")</f>
        <v/>
      </c>
      <c r="AA44" s="11" t="str">
        <f t="shared" si="17"/>
        <v/>
      </c>
      <c r="AB44" s="11" t="str">
        <f t="shared" si="18"/>
        <v/>
      </c>
      <c r="AC44" s="11" t="str">
        <f t="shared" si="29"/>
        <v/>
      </c>
      <c r="AD44" s="11" t="str">
        <f t="shared" si="30"/>
        <v/>
      </c>
      <c r="AE44" s="11" t="str">
        <f t="shared" si="31"/>
        <v/>
      </c>
      <c r="AF44" s="11" t="str">
        <f t="shared" si="32"/>
        <v/>
      </c>
      <c r="AG44" s="6" t="str">
        <f>IF(B44&lt;&gt;"",Segédlet!N40+Segédlet!O40+Segédlet!R40+AF44+AE44,"")</f>
        <v/>
      </c>
    </row>
    <row r="45" spans="1:33" s="7" customFormat="1" x14ac:dyDescent="0.2">
      <c r="A45" s="9" t="str">
        <f t="shared" si="19"/>
        <v xml:space="preserve"> </v>
      </c>
      <c r="B45" s="10"/>
      <c r="C45" s="18"/>
      <c r="D45" s="21" t="str">
        <f>IF(C45&lt;&gt;"",INDEX(Segédlet!$B$5:$B$37,MATCH(C45,Segédlet!$C$5:$C$37,0)),"")</f>
        <v/>
      </c>
      <c r="E45" s="19"/>
      <c r="F45" s="8"/>
      <c r="G45" s="5" t="str">
        <f t="shared" si="21"/>
        <v/>
      </c>
      <c r="H45" s="8" t="str">
        <f t="shared" si="22"/>
        <v/>
      </c>
      <c r="I45" s="8" t="str">
        <f t="shared" si="1"/>
        <v/>
      </c>
      <c r="J45" s="8" t="str">
        <f t="shared" si="13"/>
        <v/>
      </c>
      <c r="K45" s="8" t="str">
        <f t="shared" si="2"/>
        <v/>
      </c>
      <c r="L45" s="8" t="str">
        <f t="shared" si="14"/>
        <v/>
      </c>
      <c r="M45" s="8" t="str">
        <f t="shared" si="15"/>
        <v/>
      </c>
      <c r="N45" s="11"/>
      <c r="O45" s="11" t="str">
        <f t="shared" si="23"/>
        <v/>
      </c>
      <c r="P45" s="20"/>
      <c r="Q45" s="6" t="str">
        <f>IF(B45&lt;&gt;"",IF(AND(I45&gt;0,U45&gt;0),(N45+K45-I45)*VLOOKUP(P45,Segédlet!$I$5:$J$12,2,0),(N45+K45)*VLOOKUP(P45,Segédlet!$I$5:$J$12,2,0)),"")</f>
        <v/>
      </c>
      <c r="R45" s="6" t="str">
        <f>IF(B45&lt;&gt;"",IF((L45+M45)&lt;=14,(L45+M45)*K45*VLOOKUP(C45,Segédlet!$C$5:$G$37,4,0),K45*14*VLOOKUP(C45,Segédlet!$C$5:$G$37,4,0)+((L45+M45)-14)*K45*VLOOKUP(C45,Segédlet!$C$5:$G$37,5,0)),"")</f>
        <v/>
      </c>
      <c r="S45" s="6" t="str">
        <f>IF(B45&lt;&gt;"",IF(G45&lt;=14,G45*N45*VLOOKUP(C45,Segédlet!$C$5:$G$37,2,0),N45*14*VLOOKUP(C45,Segédlet!$C$5:$G$37,2,0)+(G45-14)*N45*VLOOKUP(C45,Segédlet!$C$5:$G$37,3,0)),"")</f>
        <v/>
      </c>
      <c r="T45" s="12" t="str">
        <f t="shared" si="24"/>
        <v/>
      </c>
      <c r="U45" s="12" t="str">
        <f t="shared" si="25"/>
        <v/>
      </c>
      <c r="V45" s="12" t="str">
        <f t="shared" si="16"/>
        <v/>
      </c>
      <c r="W45" s="12" t="str">
        <f t="shared" si="26"/>
        <v/>
      </c>
      <c r="X45" s="51" t="str">
        <f t="shared" si="27"/>
        <v/>
      </c>
      <c r="Y45" s="22" t="str">
        <f t="shared" si="28"/>
        <v/>
      </c>
      <c r="Z45" s="126" t="str">
        <f>IF(B45&lt;&gt;"",IF(B45=Segédlet!$L$6,"Jogosult igényelni","Nem jogosult igényelni"),"")</f>
        <v/>
      </c>
      <c r="AA45" s="11" t="str">
        <f t="shared" si="17"/>
        <v/>
      </c>
      <c r="AB45" s="11" t="str">
        <f t="shared" si="18"/>
        <v/>
      </c>
      <c r="AC45" s="11" t="str">
        <f t="shared" si="29"/>
        <v/>
      </c>
      <c r="AD45" s="11" t="str">
        <f t="shared" si="30"/>
        <v/>
      </c>
      <c r="AE45" s="11" t="str">
        <f t="shared" si="31"/>
        <v/>
      </c>
      <c r="AF45" s="11" t="str">
        <f t="shared" si="32"/>
        <v/>
      </c>
      <c r="AG45" s="6" t="str">
        <f>IF(B45&lt;&gt;"",Segédlet!N41+Segédlet!O41+Segédlet!R41+AF45+AE45,"")</f>
        <v/>
      </c>
    </row>
    <row r="46" spans="1:33" s="7" customFormat="1" x14ac:dyDescent="0.2">
      <c r="A46" s="9" t="str">
        <f t="shared" si="19"/>
        <v xml:space="preserve"> </v>
      </c>
      <c r="B46" s="10"/>
      <c r="C46" s="18"/>
      <c r="D46" s="21" t="str">
        <f>IF(C46&lt;&gt;"",INDEX(Segédlet!$B$5:$B$37,MATCH(C46,Segédlet!$C$5:$C$37,0)),"")</f>
        <v/>
      </c>
      <c r="E46" s="19"/>
      <c r="F46" s="8"/>
      <c r="G46" s="5" t="str">
        <f t="shared" si="21"/>
        <v/>
      </c>
      <c r="H46" s="8" t="str">
        <f t="shared" si="22"/>
        <v/>
      </c>
      <c r="I46" s="8" t="str">
        <f t="shared" si="1"/>
        <v/>
      </c>
      <c r="J46" s="8" t="str">
        <f t="shared" si="13"/>
        <v/>
      </c>
      <c r="K46" s="8" t="str">
        <f t="shared" si="2"/>
        <v/>
      </c>
      <c r="L46" s="8" t="str">
        <f t="shared" si="14"/>
        <v/>
      </c>
      <c r="M46" s="8" t="str">
        <f t="shared" si="15"/>
        <v/>
      </c>
      <c r="N46" s="11"/>
      <c r="O46" s="11" t="str">
        <f t="shared" si="23"/>
        <v/>
      </c>
      <c r="P46" s="20"/>
      <c r="Q46" s="6" t="str">
        <f>IF(B46&lt;&gt;"",IF(AND(I46&gt;0,U46&gt;0),(N46+K46-I46)*VLOOKUP(P46,Segédlet!$I$5:$J$12,2,0),(N46+K46)*VLOOKUP(P46,Segédlet!$I$5:$J$12,2,0)),"")</f>
        <v/>
      </c>
      <c r="R46" s="6" t="str">
        <f>IF(B46&lt;&gt;"",IF((L46+M46)&lt;=14,(L46+M46)*K46*VLOOKUP(C46,Segédlet!$C$5:$G$37,4,0),K46*14*VLOOKUP(C46,Segédlet!$C$5:$G$37,4,0)+((L46+M46)-14)*K46*VLOOKUP(C46,Segédlet!$C$5:$G$37,5,0)),"")</f>
        <v/>
      </c>
      <c r="S46" s="6" t="str">
        <f>IF(B46&lt;&gt;"",IF(G46&lt;=14,G46*N46*VLOOKUP(C46,Segédlet!$C$5:$G$37,2,0),N46*14*VLOOKUP(C46,Segédlet!$C$5:$G$37,2,0)+(G46-14)*N46*VLOOKUP(C46,Segédlet!$C$5:$G$37,3,0)),"")</f>
        <v/>
      </c>
      <c r="T46" s="12" t="str">
        <f t="shared" si="24"/>
        <v/>
      </c>
      <c r="U46" s="12" t="str">
        <f t="shared" si="25"/>
        <v/>
      </c>
      <c r="V46" s="12" t="str">
        <f t="shared" si="16"/>
        <v/>
      </c>
      <c r="W46" s="12" t="str">
        <f t="shared" si="26"/>
        <v/>
      </c>
      <c r="X46" s="51" t="str">
        <f t="shared" si="27"/>
        <v/>
      </c>
      <c r="Y46" s="22" t="str">
        <f t="shared" si="28"/>
        <v/>
      </c>
      <c r="Z46" s="126" t="str">
        <f>IF(B46&lt;&gt;"",IF(B46=Segédlet!$L$6,"Jogosult igényelni","Nem jogosult igényelni"),"")</f>
        <v/>
      </c>
      <c r="AA46" s="11" t="str">
        <f t="shared" si="17"/>
        <v/>
      </c>
      <c r="AB46" s="11" t="str">
        <f t="shared" si="18"/>
        <v/>
      </c>
      <c r="AC46" s="11" t="str">
        <f t="shared" si="29"/>
        <v/>
      </c>
      <c r="AD46" s="11" t="str">
        <f t="shared" si="30"/>
        <v/>
      </c>
      <c r="AE46" s="11" t="str">
        <f t="shared" si="31"/>
        <v/>
      </c>
      <c r="AF46" s="11" t="str">
        <f t="shared" si="32"/>
        <v/>
      </c>
      <c r="AG46" s="6" t="str">
        <f>IF(B46&lt;&gt;"",Segédlet!N42+Segédlet!O42+Segédlet!R42+AF46+AE46,"")</f>
        <v/>
      </c>
    </row>
    <row r="47" spans="1:33" s="7" customFormat="1" x14ac:dyDescent="0.2">
      <c r="A47" s="9" t="str">
        <f t="shared" si="19"/>
        <v xml:space="preserve"> </v>
      </c>
      <c r="B47" s="10"/>
      <c r="C47" s="18"/>
      <c r="D47" s="21" t="str">
        <f>IF(C47&lt;&gt;"",INDEX(Segédlet!$B$5:$B$37,MATCH(C47,Segédlet!$C$5:$C$37,0)),"")</f>
        <v/>
      </c>
      <c r="E47" s="19"/>
      <c r="F47" s="8"/>
      <c r="G47" s="5" t="str">
        <f t="shared" si="21"/>
        <v/>
      </c>
      <c r="H47" s="8" t="str">
        <f t="shared" si="22"/>
        <v/>
      </c>
      <c r="I47" s="8" t="str">
        <f t="shared" si="1"/>
        <v/>
      </c>
      <c r="J47" s="8" t="str">
        <f t="shared" si="13"/>
        <v/>
      </c>
      <c r="K47" s="8" t="str">
        <f t="shared" si="2"/>
        <v/>
      </c>
      <c r="L47" s="8" t="str">
        <f t="shared" si="14"/>
        <v/>
      </c>
      <c r="M47" s="8" t="str">
        <f t="shared" si="15"/>
        <v/>
      </c>
      <c r="N47" s="11"/>
      <c r="O47" s="11" t="str">
        <f t="shared" si="23"/>
        <v/>
      </c>
      <c r="P47" s="20"/>
      <c r="Q47" s="6" t="str">
        <f>IF(B47&lt;&gt;"",IF(AND(I47&gt;0,U47&gt;0),(N47+K47-I47)*VLOOKUP(P47,Segédlet!$I$5:$J$12,2,0),(N47+K47)*VLOOKUP(P47,Segédlet!$I$5:$J$12,2,0)),"")</f>
        <v/>
      </c>
      <c r="R47" s="6" t="str">
        <f>IF(B47&lt;&gt;"",IF((L47+M47)&lt;=14,(L47+M47)*K47*VLOOKUP(C47,Segédlet!$C$5:$G$37,4,0),K47*14*VLOOKUP(C47,Segédlet!$C$5:$G$37,4,0)+((L47+M47)-14)*K47*VLOOKUP(C47,Segédlet!$C$5:$G$37,5,0)),"")</f>
        <v/>
      </c>
      <c r="S47" s="6" t="str">
        <f>IF(B47&lt;&gt;"",IF(G47&lt;=14,G47*N47*VLOOKUP(C47,Segédlet!$C$5:$G$37,2,0),N47*14*VLOOKUP(C47,Segédlet!$C$5:$G$37,2,0)+(G47-14)*N47*VLOOKUP(C47,Segédlet!$C$5:$G$37,3,0)),"")</f>
        <v/>
      </c>
      <c r="T47" s="12" t="str">
        <f t="shared" si="24"/>
        <v/>
      </c>
      <c r="U47" s="12" t="str">
        <f t="shared" si="25"/>
        <v/>
      </c>
      <c r="V47" s="12" t="str">
        <f t="shared" si="16"/>
        <v/>
      </c>
      <c r="W47" s="12" t="str">
        <f t="shared" si="26"/>
        <v/>
      </c>
      <c r="X47" s="51" t="str">
        <f t="shared" si="27"/>
        <v/>
      </c>
      <c r="Y47" s="22" t="str">
        <f t="shared" si="28"/>
        <v/>
      </c>
      <c r="Z47" s="126" t="str">
        <f>IF(B47&lt;&gt;"",IF(B47=Segédlet!$L$6,"Jogosult igényelni","Nem jogosult igényelni"),"")</f>
        <v/>
      </c>
      <c r="AA47" s="11" t="str">
        <f t="shared" si="17"/>
        <v/>
      </c>
      <c r="AB47" s="11" t="str">
        <f t="shared" si="18"/>
        <v/>
      </c>
      <c r="AC47" s="11" t="str">
        <f t="shared" si="29"/>
        <v/>
      </c>
      <c r="AD47" s="11" t="str">
        <f t="shared" si="30"/>
        <v/>
      </c>
      <c r="AE47" s="11" t="str">
        <f t="shared" si="31"/>
        <v/>
      </c>
      <c r="AF47" s="11" t="str">
        <f t="shared" si="32"/>
        <v/>
      </c>
      <c r="AG47" s="6" t="str">
        <f>IF(B47&lt;&gt;"",Segédlet!N43+Segédlet!O43+Segédlet!R43+AF47+AE47,"")</f>
        <v/>
      </c>
    </row>
    <row r="48" spans="1:33" s="7" customFormat="1" x14ac:dyDescent="0.2">
      <c r="A48" s="9" t="str">
        <f t="shared" si="19"/>
        <v xml:space="preserve"> </v>
      </c>
      <c r="B48" s="10"/>
      <c r="C48" s="18"/>
      <c r="D48" s="21" t="str">
        <f>IF(C48&lt;&gt;"",INDEX(Segédlet!$B$5:$B$37,MATCH(C48,Segédlet!$C$5:$C$37,0)),"")</f>
        <v/>
      </c>
      <c r="E48" s="19"/>
      <c r="F48" s="8"/>
      <c r="G48" s="5" t="str">
        <f t="shared" si="21"/>
        <v/>
      </c>
      <c r="H48" s="8" t="str">
        <f t="shared" si="22"/>
        <v/>
      </c>
      <c r="I48" s="8" t="str">
        <f t="shared" si="1"/>
        <v/>
      </c>
      <c r="J48" s="8" t="str">
        <f t="shared" si="13"/>
        <v/>
      </c>
      <c r="K48" s="8" t="str">
        <f t="shared" si="2"/>
        <v/>
      </c>
      <c r="L48" s="8" t="str">
        <f t="shared" si="14"/>
        <v/>
      </c>
      <c r="M48" s="8" t="str">
        <f t="shared" si="15"/>
        <v/>
      </c>
      <c r="N48" s="11"/>
      <c r="O48" s="11" t="str">
        <f t="shared" si="23"/>
        <v/>
      </c>
      <c r="P48" s="20"/>
      <c r="Q48" s="6" t="str">
        <f>IF(B48&lt;&gt;"",IF(AND(I48&gt;0,U48&gt;0),(N48+K48-I48)*VLOOKUP(P48,Segédlet!$I$5:$J$12,2,0),(N48+K48)*VLOOKUP(P48,Segédlet!$I$5:$J$12,2,0)),"")</f>
        <v/>
      </c>
      <c r="R48" s="6" t="str">
        <f>IF(B48&lt;&gt;"",IF((L48+M48)&lt;=14,(L48+M48)*K48*VLOOKUP(C48,Segédlet!$C$5:$G$37,4,0),K48*14*VLOOKUP(C48,Segédlet!$C$5:$G$37,4,0)+((L48+M48)-14)*K48*VLOOKUP(C48,Segédlet!$C$5:$G$37,5,0)),"")</f>
        <v/>
      </c>
      <c r="S48" s="6" t="str">
        <f>IF(B48&lt;&gt;"",IF(G48&lt;=14,G48*N48*VLOOKUP(C48,Segédlet!$C$5:$G$37,2,0),N48*14*VLOOKUP(C48,Segédlet!$C$5:$G$37,2,0)+(G48-14)*N48*VLOOKUP(C48,Segédlet!$C$5:$G$37,3,0)),"")</f>
        <v/>
      </c>
      <c r="T48" s="12" t="str">
        <f t="shared" si="24"/>
        <v/>
      </c>
      <c r="U48" s="12" t="str">
        <f t="shared" si="25"/>
        <v/>
      </c>
      <c r="V48" s="12" t="str">
        <f t="shared" si="16"/>
        <v/>
      </c>
      <c r="W48" s="12" t="str">
        <f t="shared" si="26"/>
        <v/>
      </c>
      <c r="X48" s="51" t="str">
        <f t="shared" si="27"/>
        <v/>
      </c>
      <c r="Y48" s="22" t="str">
        <f t="shared" si="28"/>
        <v/>
      </c>
      <c r="Z48" s="126" t="str">
        <f>IF(B48&lt;&gt;"",IF(B48=Segédlet!$L$6,"Jogosult igényelni","Nem jogosult igényelni"),"")</f>
        <v/>
      </c>
      <c r="AA48" s="11" t="str">
        <f t="shared" si="17"/>
        <v/>
      </c>
      <c r="AB48" s="11" t="str">
        <f t="shared" si="18"/>
        <v/>
      </c>
      <c r="AC48" s="11" t="str">
        <f t="shared" si="29"/>
        <v/>
      </c>
      <c r="AD48" s="11" t="str">
        <f t="shared" si="30"/>
        <v/>
      </c>
      <c r="AE48" s="11" t="str">
        <f t="shared" si="31"/>
        <v/>
      </c>
      <c r="AF48" s="11" t="str">
        <f t="shared" si="32"/>
        <v/>
      </c>
      <c r="AG48" s="6" t="str">
        <f>IF(B48&lt;&gt;"",Segédlet!N44+Segédlet!O44+Segédlet!R44+AF48+AE48,"")</f>
        <v/>
      </c>
    </row>
    <row r="49" spans="1:33" s="7" customFormat="1" x14ac:dyDescent="0.2">
      <c r="A49" s="9" t="str">
        <f t="shared" si="19"/>
        <v xml:space="preserve"> </v>
      </c>
      <c r="B49" s="10"/>
      <c r="C49" s="18"/>
      <c r="D49" s="21" t="str">
        <f>IF(C49&lt;&gt;"",INDEX(Segédlet!$B$5:$B$37,MATCH(C49,Segédlet!$C$5:$C$37,0)),"")</f>
        <v/>
      </c>
      <c r="E49" s="19"/>
      <c r="F49" s="8"/>
      <c r="G49" s="5" t="str">
        <f t="shared" si="21"/>
        <v/>
      </c>
      <c r="H49" s="8" t="str">
        <f t="shared" si="22"/>
        <v/>
      </c>
      <c r="I49" s="8" t="str">
        <f t="shared" si="1"/>
        <v/>
      </c>
      <c r="J49" s="8" t="str">
        <f t="shared" si="13"/>
        <v/>
      </c>
      <c r="K49" s="8" t="str">
        <f t="shared" si="2"/>
        <v/>
      </c>
      <c r="L49" s="8" t="str">
        <f t="shared" si="14"/>
        <v/>
      </c>
      <c r="M49" s="8" t="str">
        <f t="shared" si="15"/>
        <v/>
      </c>
      <c r="N49" s="11"/>
      <c r="O49" s="11" t="str">
        <f t="shared" si="23"/>
        <v/>
      </c>
      <c r="P49" s="20"/>
      <c r="Q49" s="6" t="str">
        <f>IF(B49&lt;&gt;"",IF(AND(I49&gt;0,U49&gt;0),(N49+K49-I49)*VLOOKUP(P49,Segédlet!$I$5:$J$12,2,0),(N49+K49)*VLOOKUP(P49,Segédlet!$I$5:$J$12,2,0)),"")</f>
        <v/>
      </c>
      <c r="R49" s="6" t="str">
        <f>IF(B49&lt;&gt;"",IF((L49+M49)&lt;=14,(L49+M49)*K49*VLOOKUP(C49,Segédlet!$C$5:$G$37,4,0),K49*14*VLOOKUP(C49,Segédlet!$C$5:$G$37,4,0)+((L49+M49)-14)*K49*VLOOKUP(C49,Segédlet!$C$5:$G$37,5,0)),"")</f>
        <v/>
      </c>
      <c r="S49" s="6" t="str">
        <f>IF(B49&lt;&gt;"",IF(G49&lt;=14,G49*N49*VLOOKUP(C49,Segédlet!$C$5:$G$37,2,0),N49*14*VLOOKUP(C49,Segédlet!$C$5:$G$37,2,0)+(G49-14)*N49*VLOOKUP(C49,Segédlet!$C$5:$G$37,3,0)),"")</f>
        <v/>
      </c>
      <c r="T49" s="12" t="str">
        <f t="shared" si="24"/>
        <v/>
      </c>
      <c r="U49" s="12" t="str">
        <f t="shared" si="25"/>
        <v/>
      </c>
      <c r="V49" s="12" t="str">
        <f t="shared" si="16"/>
        <v/>
      </c>
      <c r="W49" s="12" t="str">
        <f t="shared" si="26"/>
        <v/>
      </c>
      <c r="X49" s="51" t="str">
        <f t="shared" si="27"/>
        <v/>
      </c>
      <c r="Y49" s="22" t="str">
        <f t="shared" si="28"/>
        <v/>
      </c>
      <c r="Z49" s="126" t="str">
        <f>IF(B49&lt;&gt;"",IF(B49=Segédlet!$L$6,"Jogosult igényelni","Nem jogosult igényelni"),"")</f>
        <v/>
      </c>
      <c r="AA49" s="11" t="str">
        <f t="shared" si="17"/>
        <v/>
      </c>
      <c r="AB49" s="11" t="str">
        <f t="shared" si="18"/>
        <v/>
      </c>
      <c r="AC49" s="11" t="str">
        <f t="shared" si="29"/>
        <v/>
      </c>
      <c r="AD49" s="11" t="str">
        <f t="shared" si="30"/>
        <v/>
      </c>
      <c r="AE49" s="11" t="str">
        <f t="shared" si="31"/>
        <v/>
      </c>
      <c r="AF49" s="11" t="str">
        <f t="shared" si="32"/>
        <v/>
      </c>
      <c r="AG49" s="6" t="str">
        <f>IF(B49&lt;&gt;"",Segédlet!N45+Segédlet!O45+Segédlet!R45+AF49+AE49,"")</f>
        <v/>
      </c>
    </row>
    <row r="50" spans="1:33" s="7" customFormat="1" x14ac:dyDescent="0.2">
      <c r="A50" s="9" t="str">
        <f t="shared" si="19"/>
        <v xml:space="preserve"> </v>
      </c>
      <c r="B50" s="10"/>
      <c r="C50" s="18"/>
      <c r="D50" s="21" t="str">
        <f>IF(C50&lt;&gt;"",INDEX(Segédlet!$B$5:$B$37,MATCH(C50,Segédlet!$C$5:$C$37,0)),"")</f>
        <v/>
      </c>
      <c r="E50" s="19"/>
      <c r="F50" s="8"/>
      <c r="G50" s="5" t="str">
        <f t="shared" si="21"/>
        <v/>
      </c>
      <c r="H50" s="8" t="str">
        <f t="shared" si="22"/>
        <v/>
      </c>
      <c r="I50" s="8" t="str">
        <f t="shared" si="1"/>
        <v/>
      </c>
      <c r="J50" s="8" t="str">
        <f t="shared" si="13"/>
        <v/>
      </c>
      <c r="K50" s="8" t="str">
        <f t="shared" si="2"/>
        <v/>
      </c>
      <c r="L50" s="8" t="str">
        <f t="shared" si="14"/>
        <v/>
      </c>
      <c r="M50" s="8" t="str">
        <f t="shared" si="15"/>
        <v/>
      </c>
      <c r="N50" s="11"/>
      <c r="O50" s="11" t="str">
        <f t="shared" si="23"/>
        <v/>
      </c>
      <c r="P50" s="20"/>
      <c r="Q50" s="6" t="str">
        <f>IF(B50&lt;&gt;"",IF(AND(I50&gt;0,U50&gt;0),(N50+K50-I50)*VLOOKUP(P50,Segédlet!$I$5:$J$12,2,0),(N50+K50)*VLOOKUP(P50,Segédlet!$I$5:$J$12,2,0)),"")</f>
        <v/>
      </c>
      <c r="R50" s="6" t="str">
        <f>IF(B50&lt;&gt;"",IF((L50+M50)&lt;=14,(L50+M50)*K50*VLOOKUP(C50,Segédlet!$C$5:$G$37,4,0),K50*14*VLOOKUP(C50,Segédlet!$C$5:$G$37,4,0)+((L50+M50)-14)*K50*VLOOKUP(C50,Segédlet!$C$5:$G$37,5,0)),"")</f>
        <v/>
      </c>
      <c r="S50" s="6" t="str">
        <f>IF(B50&lt;&gt;"",IF(G50&lt;=14,G50*N50*VLOOKUP(C50,Segédlet!$C$5:$G$37,2,0),N50*14*VLOOKUP(C50,Segédlet!$C$5:$G$37,2,0)+(G50-14)*N50*VLOOKUP(C50,Segédlet!$C$5:$G$37,3,0)),"")</f>
        <v/>
      </c>
      <c r="T50" s="12" t="str">
        <f t="shared" si="24"/>
        <v/>
      </c>
      <c r="U50" s="12" t="str">
        <f t="shared" si="25"/>
        <v/>
      </c>
      <c r="V50" s="12" t="str">
        <f t="shared" si="16"/>
        <v/>
      </c>
      <c r="W50" s="12" t="str">
        <f t="shared" si="26"/>
        <v/>
      </c>
      <c r="X50" s="51" t="str">
        <f t="shared" si="27"/>
        <v/>
      </c>
      <c r="Y50" s="22" t="str">
        <f t="shared" si="28"/>
        <v/>
      </c>
      <c r="Z50" s="126" t="str">
        <f>IF(B50&lt;&gt;"",IF(B50=Segédlet!$L$6,"Jogosult igényelni","Nem jogosult igényelni"),"")</f>
        <v/>
      </c>
      <c r="AA50" s="11" t="str">
        <f t="shared" si="17"/>
        <v/>
      </c>
      <c r="AB50" s="11" t="str">
        <f t="shared" si="18"/>
        <v/>
      </c>
      <c r="AC50" s="11" t="str">
        <f t="shared" si="29"/>
        <v/>
      </c>
      <c r="AD50" s="11" t="str">
        <f t="shared" si="30"/>
        <v/>
      </c>
      <c r="AE50" s="11" t="str">
        <f t="shared" si="31"/>
        <v/>
      </c>
      <c r="AF50" s="11" t="str">
        <f t="shared" si="32"/>
        <v/>
      </c>
      <c r="AG50" s="6" t="str">
        <f>IF(B50&lt;&gt;"",Segédlet!N46+Segédlet!O46+Segédlet!R46+AF50+AE50,"")</f>
        <v/>
      </c>
    </row>
    <row r="51" spans="1:33" s="7" customFormat="1" x14ac:dyDescent="0.2">
      <c r="A51" s="9" t="str">
        <f t="shared" si="19"/>
        <v xml:space="preserve"> </v>
      </c>
      <c r="B51" s="10"/>
      <c r="C51" s="18"/>
      <c r="D51" s="21" t="str">
        <f>IF(C51&lt;&gt;"",INDEX(Segédlet!$B$5:$B$37,MATCH(C51,Segédlet!$C$5:$C$37,0)),"")</f>
        <v/>
      </c>
      <c r="E51" s="19"/>
      <c r="F51" s="8"/>
      <c r="G51" s="5" t="str">
        <f t="shared" si="21"/>
        <v/>
      </c>
      <c r="H51" s="8" t="str">
        <f t="shared" si="22"/>
        <v/>
      </c>
      <c r="I51" s="8" t="str">
        <f t="shared" si="1"/>
        <v/>
      </c>
      <c r="J51" s="8" t="str">
        <f t="shared" si="13"/>
        <v/>
      </c>
      <c r="K51" s="8" t="str">
        <f t="shared" si="2"/>
        <v/>
      </c>
      <c r="L51" s="8" t="str">
        <f t="shared" si="14"/>
        <v/>
      </c>
      <c r="M51" s="8" t="str">
        <f t="shared" si="15"/>
        <v/>
      </c>
      <c r="N51" s="11"/>
      <c r="O51" s="11" t="str">
        <f t="shared" si="23"/>
        <v/>
      </c>
      <c r="P51" s="20"/>
      <c r="Q51" s="6" t="str">
        <f>IF(B51&lt;&gt;"",IF(AND(I51&gt;0,U51&gt;0),(N51+K51-I51)*VLOOKUP(P51,Segédlet!$I$5:$J$12,2,0),(N51+K51)*VLOOKUP(P51,Segédlet!$I$5:$J$12,2,0)),"")</f>
        <v/>
      </c>
      <c r="R51" s="6" t="str">
        <f>IF(B51&lt;&gt;"",IF((L51+M51)&lt;=14,(L51+M51)*K51*VLOOKUP(C51,Segédlet!$C$5:$G$37,4,0),K51*14*VLOOKUP(C51,Segédlet!$C$5:$G$37,4,0)+((L51+M51)-14)*K51*VLOOKUP(C51,Segédlet!$C$5:$G$37,5,0)),"")</f>
        <v/>
      </c>
      <c r="S51" s="6" t="str">
        <f>IF(B51&lt;&gt;"",IF(G51&lt;=14,G51*N51*VLOOKUP(C51,Segédlet!$C$5:$G$37,2,0),N51*14*VLOOKUP(C51,Segédlet!$C$5:$G$37,2,0)+(G51-14)*N51*VLOOKUP(C51,Segédlet!$C$5:$G$37,3,0)),"")</f>
        <v/>
      </c>
      <c r="T51" s="12" t="str">
        <f t="shared" si="24"/>
        <v/>
      </c>
      <c r="U51" s="12" t="str">
        <f t="shared" si="25"/>
        <v/>
      </c>
      <c r="V51" s="12" t="str">
        <f t="shared" si="16"/>
        <v/>
      </c>
      <c r="W51" s="12" t="str">
        <f t="shared" si="26"/>
        <v/>
      </c>
      <c r="X51" s="51" t="str">
        <f t="shared" si="27"/>
        <v/>
      </c>
      <c r="Y51" s="22" t="str">
        <f t="shared" si="28"/>
        <v/>
      </c>
      <c r="Z51" s="126" t="str">
        <f>IF(B51&lt;&gt;"",IF(B51=Segédlet!$L$6,"Jogosult igényelni","Nem jogosult igényelni"),"")</f>
        <v/>
      </c>
      <c r="AA51" s="11" t="str">
        <f t="shared" si="17"/>
        <v/>
      </c>
      <c r="AB51" s="11" t="str">
        <f t="shared" si="18"/>
        <v/>
      </c>
      <c r="AC51" s="11" t="str">
        <f t="shared" si="29"/>
        <v/>
      </c>
      <c r="AD51" s="11" t="str">
        <f t="shared" si="30"/>
        <v/>
      </c>
      <c r="AE51" s="11" t="str">
        <f t="shared" si="31"/>
        <v/>
      </c>
      <c r="AF51" s="11" t="str">
        <f t="shared" si="32"/>
        <v/>
      </c>
      <c r="AG51" s="6" t="str">
        <f>IF(B51&lt;&gt;"",Segédlet!N47+Segédlet!O47+Segédlet!R47+AF51+AE51,"")</f>
        <v/>
      </c>
    </row>
    <row r="52" spans="1:33" s="7" customFormat="1" x14ac:dyDescent="0.2">
      <c r="A52" s="9" t="str">
        <f t="shared" si="19"/>
        <v xml:space="preserve"> </v>
      </c>
      <c r="B52" s="10"/>
      <c r="C52" s="18"/>
      <c r="D52" s="21" t="str">
        <f>IF(C52&lt;&gt;"",INDEX(Segédlet!$B$5:$B$37,MATCH(C52,Segédlet!$C$5:$C$37,0)),"")</f>
        <v/>
      </c>
      <c r="E52" s="19"/>
      <c r="F52" s="8"/>
      <c r="G52" s="5" t="str">
        <f t="shared" si="21"/>
        <v/>
      </c>
      <c r="H52" s="8" t="str">
        <f t="shared" si="22"/>
        <v/>
      </c>
      <c r="I52" s="8" t="str">
        <f t="shared" si="1"/>
        <v/>
      </c>
      <c r="J52" s="8" t="str">
        <f t="shared" si="13"/>
        <v/>
      </c>
      <c r="K52" s="8" t="str">
        <f t="shared" si="2"/>
        <v/>
      </c>
      <c r="L52" s="8" t="str">
        <f t="shared" si="14"/>
        <v/>
      </c>
      <c r="M52" s="8" t="str">
        <f t="shared" si="15"/>
        <v/>
      </c>
      <c r="N52" s="11"/>
      <c r="O52" s="11" t="str">
        <f t="shared" si="23"/>
        <v/>
      </c>
      <c r="P52" s="20"/>
      <c r="Q52" s="6" t="str">
        <f>IF(B52&lt;&gt;"",IF(AND(I52&gt;0,U52&gt;0),(N52+K52-I52)*VLOOKUP(P52,Segédlet!$I$5:$J$12,2,0),(N52+K52)*VLOOKUP(P52,Segédlet!$I$5:$J$12,2,0)),"")</f>
        <v/>
      </c>
      <c r="R52" s="6" t="str">
        <f>IF(B52&lt;&gt;"",IF((L52+M52)&lt;=14,(L52+M52)*K52*VLOOKUP(C52,Segédlet!$C$5:$G$37,4,0),K52*14*VLOOKUP(C52,Segédlet!$C$5:$G$37,4,0)+((L52+M52)-14)*K52*VLOOKUP(C52,Segédlet!$C$5:$G$37,5,0)),"")</f>
        <v/>
      </c>
      <c r="S52" s="6" t="str">
        <f>IF(B52&lt;&gt;"",IF(G52&lt;=14,G52*N52*VLOOKUP(C52,Segédlet!$C$5:$G$37,2,0),N52*14*VLOOKUP(C52,Segédlet!$C$5:$G$37,2,0)+(G52-14)*N52*VLOOKUP(C52,Segédlet!$C$5:$G$37,3,0)),"")</f>
        <v/>
      </c>
      <c r="T52" s="12" t="str">
        <f t="shared" si="24"/>
        <v/>
      </c>
      <c r="U52" s="12" t="str">
        <f t="shared" si="25"/>
        <v/>
      </c>
      <c r="V52" s="12" t="str">
        <f t="shared" si="16"/>
        <v/>
      </c>
      <c r="W52" s="12" t="str">
        <f t="shared" si="26"/>
        <v/>
      </c>
      <c r="X52" s="51" t="str">
        <f t="shared" si="27"/>
        <v/>
      </c>
      <c r="Y52" s="22" t="str">
        <f t="shared" si="28"/>
        <v/>
      </c>
      <c r="Z52" s="126" t="str">
        <f>IF(B52&lt;&gt;"",IF(B52=Segédlet!$L$6,"Jogosult igényelni","Nem jogosult igényelni"),"")</f>
        <v/>
      </c>
      <c r="AA52" s="11" t="str">
        <f t="shared" si="17"/>
        <v/>
      </c>
      <c r="AB52" s="11" t="str">
        <f t="shared" si="18"/>
        <v/>
      </c>
      <c r="AC52" s="11" t="str">
        <f t="shared" si="29"/>
        <v/>
      </c>
      <c r="AD52" s="11" t="str">
        <f t="shared" si="30"/>
        <v/>
      </c>
      <c r="AE52" s="11" t="str">
        <f t="shared" si="31"/>
        <v/>
      </c>
      <c r="AF52" s="11" t="str">
        <f t="shared" si="32"/>
        <v/>
      </c>
      <c r="AG52" s="6" t="str">
        <f>IF(B52&lt;&gt;"",Segédlet!N48+Segédlet!O48+Segédlet!R48+AF52+AE52,"")</f>
        <v/>
      </c>
    </row>
    <row r="53" spans="1:33" s="7" customFormat="1" x14ac:dyDescent="0.2">
      <c r="A53" s="9" t="str">
        <f t="shared" si="19"/>
        <v xml:space="preserve"> </v>
      </c>
      <c r="B53" s="10"/>
      <c r="C53" s="18"/>
      <c r="D53" s="21" t="str">
        <f>IF(C53&lt;&gt;"",INDEX(Segédlet!$B$5:$B$37,MATCH(C53,Segédlet!$C$5:$C$37,0)),"")</f>
        <v/>
      </c>
      <c r="E53" s="19"/>
      <c r="F53" s="8"/>
      <c r="G53" s="5" t="str">
        <f t="shared" si="21"/>
        <v/>
      </c>
      <c r="H53" s="8" t="str">
        <f t="shared" si="22"/>
        <v/>
      </c>
      <c r="I53" s="8" t="str">
        <f t="shared" si="1"/>
        <v/>
      </c>
      <c r="J53" s="8" t="str">
        <f t="shared" si="13"/>
        <v/>
      </c>
      <c r="K53" s="8" t="str">
        <f t="shared" si="2"/>
        <v/>
      </c>
      <c r="L53" s="8" t="str">
        <f t="shared" si="14"/>
        <v/>
      </c>
      <c r="M53" s="8" t="str">
        <f t="shared" si="15"/>
        <v/>
      </c>
      <c r="N53" s="11"/>
      <c r="O53" s="11" t="str">
        <f t="shared" si="23"/>
        <v/>
      </c>
      <c r="P53" s="20"/>
      <c r="Q53" s="6" t="str">
        <f>IF(B53&lt;&gt;"",IF(AND(I53&gt;0,U53&gt;0),(N53+K53-I53)*VLOOKUP(P53,Segédlet!$I$5:$J$12,2,0),(N53+K53)*VLOOKUP(P53,Segédlet!$I$5:$J$12,2,0)),"")</f>
        <v/>
      </c>
      <c r="R53" s="6" t="str">
        <f>IF(B53&lt;&gt;"",IF((L53+M53)&lt;=14,(L53+M53)*K53*VLOOKUP(C53,Segédlet!$C$5:$G$37,4,0),K53*14*VLOOKUP(C53,Segédlet!$C$5:$G$37,4,0)+((L53+M53)-14)*K53*VLOOKUP(C53,Segédlet!$C$5:$G$37,5,0)),"")</f>
        <v/>
      </c>
      <c r="S53" s="6" t="str">
        <f>IF(B53&lt;&gt;"",IF(G53&lt;=14,G53*N53*VLOOKUP(C53,Segédlet!$C$5:$G$37,2,0),N53*14*VLOOKUP(C53,Segédlet!$C$5:$G$37,2,0)+(G53-14)*N53*VLOOKUP(C53,Segédlet!$C$5:$G$37,3,0)),"")</f>
        <v/>
      </c>
      <c r="T53" s="12" t="str">
        <f t="shared" si="24"/>
        <v/>
      </c>
      <c r="U53" s="12" t="str">
        <f t="shared" si="25"/>
        <v/>
      </c>
      <c r="V53" s="12" t="str">
        <f t="shared" si="16"/>
        <v/>
      </c>
      <c r="W53" s="12" t="str">
        <f t="shared" si="26"/>
        <v/>
      </c>
      <c r="X53" s="51" t="str">
        <f t="shared" si="27"/>
        <v/>
      </c>
      <c r="Y53" s="22" t="str">
        <f t="shared" si="28"/>
        <v/>
      </c>
      <c r="Z53" s="126" t="str">
        <f>IF(B53&lt;&gt;"",IF(B53=Segédlet!$L$6,"Jogosult igényelni","Nem jogosult igényelni"),"")</f>
        <v/>
      </c>
      <c r="AA53" s="11" t="str">
        <f t="shared" si="17"/>
        <v/>
      </c>
      <c r="AB53" s="11" t="str">
        <f t="shared" si="18"/>
        <v/>
      </c>
      <c r="AC53" s="11" t="str">
        <f t="shared" si="29"/>
        <v/>
      </c>
      <c r="AD53" s="11" t="str">
        <f t="shared" si="30"/>
        <v/>
      </c>
      <c r="AE53" s="11" t="str">
        <f t="shared" si="31"/>
        <v/>
      </c>
      <c r="AF53" s="11" t="str">
        <f t="shared" si="32"/>
        <v/>
      </c>
      <c r="AG53" s="6" t="str">
        <f>IF(B53&lt;&gt;"",Segédlet!N49+Segédlet!O49+Segédlet!R49+AF53+AE53,"")</f>
        <v/>
      </c>
    </row>
    <row r="54" spans="1:33" s="7" customFormat="1" x14ac:dyDescent="0.2">
      <c r="A54" s="9" t="str">
        <f t="shared" si="19"/>
        <v xml:space="preserve"> </v>
      </c>
      <c r="B54" s="10"/>
      <c r="C54" s="18"/>
      <c r="D54" s="21" t="str">
        <f>IF(C54&lt;&gt;"",INDEX(Segédlet!$B$5:$B$37,MATCH(C54,Segédlet!$C$5:$C$37,0)),"")</f>
        <v/>
      </c>
      <c r="E54" s="19"/>
      <c r="F54" s="8"/>
      <c r="G54" s="5" t="str">
        <f t="shared" si="21"/>
        <v/>
      </c>
      <c r="H54" s="8" t="str">
        <f t="shared" si="22"/>
        <v/>
      </c>
      <c r="I54" s="8" t="str">
        <f t="shared" si="1"/>
        <v/>
      </c>
      <c r="J54" s="8" t="str">
        <f t="shared" si="13"/>
        <v/>
      </c>
      <c r="K54" s="8" t="str">
        <f t="shared" si="2"/>
        <v/>
      </c>
      <c r="L54" s="8" t="str">
        <f t="shared" si="14"/>
        <v/>
      </c>
      <c r="M54" s="8" t="str">
        <f t="shared" si="15"/>
        <v/>
      </c>
      <c r="N54" s="11"/>
      <c r="O54" s="11" t="str">
        <f t="shared" si="23"/>
        <v/>
      </c>
      <c r="P54" s="20"/>
      <c r="Q54" s="6" t="str">
        <f>IF(B54&lt;&gt;"",IF(AND(I54&gt;0,U54&gt;0),(N54+K54-I54)*VLOOKUP(P54,Segédlet!$I$5:$J$12,2,0),(N54+K54)*VLOOKUP(P54,Segédlet!$I$5:$J$12,2,0)),"")</f>
        <v/>
      </c>
      <c r="R54" s="6" t="str">
        <f>IF(B54&lt;&gt;"",IF((L54+M54)&lt;=14,(L54+M54)*K54*VLOOKUP(C54,Segédlet!$C$5:$G$37,4,0),K54*14*VLOOKUP(C54,Segédlet!$C$5:$G$37,4,0)+((L54+M54)-14)*K54*VLOOKUP(C54,Segédlet!$C$5:$G$37,5,0)),"")</f>
        <v/>
      </c>
      <c r="S54" s="6" t="str">
        <f>IF(B54&lt;&gt;"",IF(G54&lt;=14,G54*N54*VLOOKUP(C54,Segédlet!$C$5:$G$37,2,0),N54*14*VLOOKUP(C54,Segédlet!$C$5:$G$37,2,0)+(G54-14)*N54*VLOOKUP(C54,Segédlet!$C$5:$G$37,3,0)),"")</f>
        <v/>
      </c>
      <c r="T54" s="12" t="str">
        <f t="shared" si="24"/>
        <v/>
      </c>
      <c r="U54" s="12" t="str">
        <f t="shared" si="25"/>
        <v/>
      </c>
      <c r="V54" s="12" t="str">
        <f t="shared" si="16"/>
        <v/>
      </c>
      <c r="W54" s="12" t="str">
        <f t="shared" si="26"/>
        <v/>
      </c>
      <c r="X54" s="51" t="str">
        <f t="shared" si="27"/>
        <v/>
      </c>
      <c r="Y54" s="22" t="str">
        <f t="shared" si="28"/>
        <v/>
      </c>
      <c r="Z54" s="126" t="str">
        <f>IF(B54&lt;&gt;"",IF(B54=Segédlet!$L$6,"Jogosult igényelni","Nem jogosult igényelni"),"")</f>
        <v/>
      </c>
      <c r="AA54" s="11" t="str">
        <f t="shared" si="17"/>
        <v/>
      </c>
      <c r="AB54" s="11" t="str">
        <f t="shared" si="18"/>
        <v/>
      </c>
      <c r="AC54" s="11" t="str">
        <f t="shared" si="29"/>
        <v/>
      </c>
      <c r="AD54" s="11" t="str">
        <f t="shared" si="30"/>
        <v/>
      </c>
      <c r="AE54" s="11" t="str">
        <f t="shared" si="31"/>
        <v/>
      </c>
      <c r="AF54" s="11" t="str">
        <f t="shared" si="32"/>
        <v/>
      </c>
      <c r="AG54" s="6" t="str">
        <f>IF(B54&lt;&gt;"",Segédlet!N50+Segédlet!O50+Segédlet!R50+AF54+AE54,"")</f>
        <v/>
      </c>
    </row>
    <row r="55" spans="1:33" s="7" customFormat="1" x14ac:dyDescent="0.2">
      <c r="A55" s="9" t="str">
        <f t="shared" si="19"/>
        <v xml:space="preserve"> </v>
      </c>
      <c r="B55" s="10"/>
      <c r="C55" s="18"/>
      <c r="D55" s="21" t="str">
        <f>IF(C55&lt;&gt;"",INDEX(Segédlet!$B$5:$B$37,MATCH(C55,Segédlet!$C$5:$C$37,0)),"")</f>
        <v/>
      </c>
      <c r="E55" s="19"/>
      <c r="F55" s="8"/>
      <c r="G55" s="5" t="str">
        <f t="shared" si="21"/>
        <v/>
      </c>
      <c r="H55" s="8" t="str">
        <f t="shared" si="22"/>
        <v/>
      </c>
      <c r="I55" s="8" t="str">
        <f t="shared" si="1"/>
        <v/>
      </c>
      <c r="J55" s="8" t="str">
        <f t="shared" si="13"/>
        <v/>
      </c>
      <c r="K55" s="8" t="str">
        <f t="shared" si="2"/>
        <v/>
      </c>
      <c r="L55" s="8" t="str">
        <f t="shared" si="14"/>
        <v/>
      </c>
      <c r="M55" s="8" t="str">
        <f t="shared" si="15"/>
        <v/>
      </c>
      <c r="N55" s="11"/>
      <c r="O55" s="11" t="str">
        <f t="shared" si="23"/>
        <v/>
      </c>
      <c r="P55" s="20"/>
      <c r="Q55" s="6" t="str">
        <f>IF(B55&lt;&gt;"",IF(AND(I55&gt;0,U55&gt;0),(N55+K55-I55)*VLOOKUP(P55,Segédlet!$I$5:$J$12,2,0),(N55+K55)*VLOOKUP(P55,Segédlet!$I$5:$J$12,2,0)),"")</f>
        <v/>
      </c>
      <c r="R55" s="6" t="str">
        <f>IF(B55&lt;&gt;"",IF((L55+M55)&lt;=14,(L55+M55)*K55*VLOOKUP(C55,Segédlet!$C$5:$G$37,4,0),K55*14*VLOOKUP(C55,Segédlet!$C$5:$G$37,4,0)+((L55+M55)-14)*K55*VLOOKUP(C55,Segédlet!$C$5:$G$37,5,0)),"")</f>
        <v/>
      </c>
      <c r="S55" s="6" t="str">
        <f>IF(B55&lt;&gt;"",IF(G55&lt;=14,G55*N55*VLOOKUP(C55,Segédlet!$C$5:$G$37,2,0),N55*14*VLOOKUP(C55,Segédlet!$C$5:$G$37,2,0)+(G55-14)*N55*VLOOKUP(C55,Segédlet!$C$5:$G$37,3,0)),"")</f>
        <v/>
      </c>
      <c r="T55" s="12" t="str">
        <f t="shared" si="24"/>
        <v/>
      </c>
      <c r="U55" s="12" t="str">
        <f t="shared" si="25"/>
        <v/>
      </c>
      <c r="V55" s="12" t="str">
        <f t="shared" si="16"/>
        <v/>
      </c>
      <c r="W55" s="12" t="str">
        <f t="shared" si="26"/>
        <v/>
      </c>
      <c r="X55" s="51" t="str">
        <f t="shared" si="27"/>
        <v/>
      </c>
      <c r="Y55" s="22" t="str">
        <f t="shared" si="28"/>
        <v/>
      </c>
      <c r="Z55" s="126" t="str">
        <f>IF(B55&lt;&gt;"",IF(B55=Segédlet!$L$6,"Jogosult igényelni","Nem jogosult igényelni"),"")</f>
        <v/>
      </c>
      <c r="AA55" s="11" t="str">
        <f t="shared" si="17"/>
        <v/>
      </c>
      <c r="AB55" s="11" t="str">
        <f t="shared" si="18"/>
        <v/>
      </c>
      <c r="AC55" s="11" t="str">
        <f t="shared" si="29"/>
        <v/>
      </c>
      <c r="AD55" s="11" t="str">
        <f t="shared" si="30"/>
        <v/>
      </c>
      <c r="AE55" s="11" t="str">
        <f t="shared" si="31"/>
        <v/>
      </c>
      <c r="AF55" s="11" t="str">
        <f t="shared" si="32"/>
        <v/>
      </c>
      <c r="AG55" s="6" t="str">
        <f>IF(B55&lt;&gt;"",Segédlet!N51+Segédlet!O51+Segédlet!R51+AF55+AE55,"")</f>
        <v/>
      </c>
    </row>
    <row r="56" spans="1:33" s="7" customFormat="1" x14ac:dyDescent="0.2">
      <c r="A56" s="9" t="str">
        <f t="shared" si="19"/>
        <v xml:space="preserve"> </v>
      </c>
      <c r="B56" s="10"/>
      <c r="C56" s="18"/>
      <c r="D56" s="21" t="str">
        <f>IF(C56&lt;&gt;"",INDEX(Segédlet!$B$5:$B$37,MATCH(C56,Segédlet!$C$5:$C$37,0)),"")</f>
        <v/>
      </c>
      <c r="E56" s="19"/>
      <c r="F56" s="8"/>
      <c r="G56" s="5" t="str">
        <f t="shared" si="21"/>
        <v/>
      </c>
      <c r="H56" s="8" t="str">
        <f t="shared" si="22"/>
        <v/>
      </c>
      <c r="I56" s="8" t="str">
        <f t="shared" si="1"/>
        <v/>
      </c>
      <c r="J56" s="8" t="str">
        <f t="shared" si="13"/>
        <v/>
      </c>
      <c r="K56" s="8" t="str">
        <f t="shared" si="2"/>
        <v/>
      </c>
      <c r="L56" s="8" t="str">
        <f t="shared" si="14"/>
        <v/>
      </c>
      <c r="M56" s="8" t="str">
        <f t="shared" si="15"/>
        <v/>
      </c>
      <c r="N56" s="11"/>
      <c r="O56" s="11" t="str">
        <f t="shared" si="23"/>
        <v/>
      </c>
      <c r="P56" s="20"/>
      <c r="Q56" s="6" t="str">
        <f>IF(B56&lt;&gt;"",IF(AND(I56&gt;0,U56&gt;0),(N56+K56-I56)*VLOOKUP(P56,Segédlet!$I$5:$J$12,2,0),(N56+K56)*VLOOKUP(P56,Segédlet!$I$5:$J$12,2,0)),"")</f>
        <v/>
      </c>
      <c r="R56" s="6" t="str">
        <f>IF(B56&lt;&gt;"",IF((L56+M56)&lt;=14,(L56+M56)*K56*VLOOKUP(C56,Segédlet!$C$5:$G$37,4,0),K56*14*VLOOKUP(C56,Segédlet!$C$5:$G$37,4,0)+((L56+M56)-14)*K56*VLOOKUP(C56,Segédlet!$C$5:$G$37,5,0)),"")</f>
        <v/>
      </c>
      <c r="S56" s="6" t="str">
        <f>IF(B56&lt;&gt;"",IF(G56&lt;=14,G56*N56*VLOOKUP(C56,Segédlet!$C$5:$G$37,2,0),N56*14*VLOOKUP(C56,Segédlet!$C$5:$G$37,2,0)+(G56-14)*N56*VLOOKUP(C56,Segédlet!$C$5:$G$37,3,0)),"")</f>
        <v/>
      </c>
      <c r="T56" s="12" t="str">
        <f t="shared" si="24"/>
        <v/>
      </c>
      <c r="U56" s="12" t="str">
        <f t="shared" si="25"/>
        <v/>
      </c>
      <c r="V56" s="12" t="str">
        <f t="shared" si="16"/>
        <v/>
      </c>
      <c r="W56" s="12" t="str">
        <f t="shared" si="26"/>
        <v/>
      </c>
      <c r="X56" s="51" t="str">
        <f t="shared" si="27"/>
        <v/>
      </c>
      <c r="Y56" s="22" t="str">
        <f t="shared" si="28"/>
        <v/>
      </c>
      <c r="Z56" s="126" t="str">
        <f>IF(B56&lt;&gt;"",IF(B56=Segédlet!$L$6,"Jogosult igényelni","Nem jogosult igényelni"),"")</f>
        <v/>
      </c>
      <c r="AA56" s="11" t="str">
        <f t="shared" si="17"/>
        <v/>
      </c>
      <c r="AB56" s="11" t="str">
        <f t="shared" si="18"/>
        <v/>
      </c>
      <c r="AC56" s="11" t="str">
        <f t="shared" si="29"/>
        <v/>
      </c>
      <c r="AD56" s="11" t="str">
        <f t="shared" si="30"/>
        <v/>
      </c>
      <c r="AE56" s="11" t="str">
        <f t="shared" si="31"/>
        <v/>
      </c>
      <c r="AF56" s="11" t="str">
        <f t="shared" si="32"/>
        <v/>
      </c>
      <c r="AG56" s="6" t="str">
        <f>IF(B56&lt;&gt;"",Segédlet!N52+Segédlet!O52+Segédlet!R52+AF56+AE56,"")</f>
        <v/>
      </c>
    </row>
    <row r="57" spans="1:33" s="7" customFormat="1" x14ac:dyDescent="0.2">
      <c r="A57" s="9" t="str">
        <f t="shared" si="19"/>
        <v xml:space="preserve"> </v>
      </c>
      <c r="B57" s="10"/>
      <c r="C57" s="18"/>
      <c r="D57" s="21" t="str">
        <f>IF(C57&lt;&gt;"",INDEX(Segédlet!$B$5:$B$37,MATCH(C57,Segédlet!$C$5:$C$37,0)),"")</f>
        <v/>
      </c>
      <c r="E57" s="19"/>
      <c r="F57" s="8"/>
      <c r="G57" s="5" t="str">
        <f t="shared" si="21"/>
        <v/>
      </c>
      <c r="H57" s="8" t="str">
        <f t="shared" si="22"/>
        <v/>
      </c>
      <c r="I57" s="8" t="str">
        <f t="shared" si="1"/>
        <v/>
      </c>
      <c r="J57" s="8" t="str">
        <f t="shared" si="13"/>
        <v/>
      </c>
      <c r="K57" s="8" t="str">
        <f t="shared" si="2"/>
        <v/>
      </c>
      <c r="L57" s="8" t="str">
        <f t="shared" si="14"/>
        <v/>
      </c>
      <c r="M57" s="8" t="str">
        <f t="shared" si="15"/>
        <v/>
      </c>
      <c r="N57" s="11"/>
      <c r="O57" s="11" t="str">
        <f t="shared" si="23"/>
        <v/>
      </c>
      <c r="P57" s="20"/>
      <c r="Q57" s="6" t="str">
        <f>IF(B57&lt;&gt;"",IF(AND(I57&gt;0,U57&gt;0),(N57+K57-I57)*VLOOKUP(P57,Segédlet!$I$5:$J$12,2,0),(N57+K57)*VLOOKUP(P57,Segédlet!$I$5:$J$12,2,0)),"")</f>
        <v/>
      </c>
      <c r="R57" s="6" t="str">
        <f>IF(B57&lt;&gt;"",IF((L57+M57)&lt;=14,(L57+M57)*K57*VLOOKUP(C57,Segédlet!$C$5:$G$37,4,0),K57*14*VLOOKUP(C57,Segédlet!$C$5:$G$37,4,0)+((L57+M57)-14)*K57*VLOOKUP(C57,Segédlet!$C$5:$G$37,5,0)),"")</f>
        <v/>
      </c>
      <c r="S57" s="6" t="str">
        <f>IF(B57&lt;&gt;"",IF(G57&lt;=14,G57*N57*VLOOKUP(C57,Segédlet!$C$5:$G$37,2,0),N57*14*VLOOKUP(C57,Segédlet!$C$5:$G$37,2,0)+(G57-14)*N57*VLOOKUP(C57,Segédlet!$C$5:$G$37,3,0)),"")</f>
        <v/>
      </c>
      <c r="T57" s="12" t="str">
        <f t="shared" si="24"/>
        <v/>
      </c>
      <c r="U57" s="12" t="str">
        <f t="shared" si="25"/>
        <v/>
      </c>
      <c r="V57" s="12" t="str">
        <f t="shared" si="16"/>
        <v/>
      </c>
      <c r="W57" s="12" t="str">
        <f t="shared" si="26"/>
        <v/>
      </c>
      <c r="X57" s="51" t="str">
        <f t="shared" si="27"/>
        <v/>
      </c>
      <c r="Y57" s="22" t="str">
        <f t="shared" si="28"/>
        <v/>
      </c>
      <c r="Z57" s="126" t="str">
        <f>IF(B57&lt;&gt;"",IF(B57=Segédlet!$L$6,"Jogosult igényelni","Nem jogosult igényelni"),"")</f>
        <v/>
      </c>
      <c r="AA57" s="11" t="str">
        <f t="shared" si="17"/>
        <v/>
      </c>
      <c r="AB57" s="11" t="str">
        <f t="shared" si="18"/>
        <v/>
      </c>
      <c r="AC57" s="11" t="str">
        <f t="shared" si="29"/>
        <v/>
      </c>
      <c r="AD57" s="11" t="str">
        <f t="shared" si="30"/>
        <v/>
      </c>
      <c r="AE57" s="11" t="str">
        <f t="shared" si="31"/>
        <v/>
      </c>
      <c r="AF57" s="11" t="str">
        <f t="shared" si="32"/>
        <v/>
      </c>
      <c r="AG57" s="6" t="str">
        <f>IF(B57&lt;&gt;"",Segédlet!N53+Segédlet!O53+Segédlet!R53+AF57+AE57,"")</f>
        <v/>
      </c>
    </row>
    <row r="58" spans="1:33" s="7" customFormat="1" x14ac:dyDescent="0.2">
      <c r="A58" s="9" t="str">
        <f t="shared" si="19"/>
        <v xml:space="preserve"> </v>
      </c>
      <c r="B58" s="10"/>
      <c r="C58" s="18"/>
      <c r="D58" s="21" t="str">
        <f>IF(C58&lt;&gt;"",INDEX(Segédlet!$B$5:$B$37,MATCH(C58,Segédlet!$C$5:$C$37,0)),"")</f>
        <v/>
      </c>
      <c r="E58" s="19"/>
      <c r="F58" s="8"/>
      <c r="G58" s="5" t="str">
        <f t="shared" si="21"/>
        <v/>
      </c>
      <c r="H58" s="8" t="str">
        <f t="shared" si="22"/>
        <v/>
      </c>
      <c r="I58" s="8" t="str">
        <f t="shared" si="1"/>
        <v/>
      </c>
      <c r="J58" s="8" t="str">
        <f t="shared" si="13"/>
        <v/>
      </c>
      <c r="K58" s="8" t="str">
        <f t="shared" si="2"/>
        <v/>
      </c>
      <c r="L58" s="8" t="str">
        <f t="shared" si="14"/>
        <v/>
      </c>
      <c r="M58" s="8" t="str">
        <f t="shared" si="15"/>
        <v/>
      </c>
      <c r="N58" s="11"/>
      <c r="O58" s="11" t="str">
        <f t="shared" si="23"/>
        <v/>
      </c>
      <c r="P58" s="20"/>
      <c r="Q58" s="6" t="str">
        <f>IF(B58&lt;&gt;"",IF(AND(I58&gt;0,U58&gt;0),(N58+K58-I58)*VLOOKUP(P58,Segédlet!$I$5:$J$12,2,0),(N58+K58)*VLOOKUP(P58,Segédlet!$I$5:$J$12,2,0)),"")</f>
        <v/>
      </c>
      <c r="R58" s="6" t="str">
        <f>IF(B58&lt;&gt;"",IF((L58+M58)&lt;=14,(L58+M58)*K58*VLOOKUP(C58,Segédlet!$C$5:$G$37,4,0),K58*14*VLOOKUP(C58,Segédlet!$C$5:$G$37,4,0)+((L58+M58)-14)*K58*VLOOKUP(C58,Segédlet!$C$5:$G$37,5,0)),"")</f>
        <v/>
      </c>
      <c r="S58" s="6" t="str">
        <f>IF(B58&lt;&gt;"",IF(G58&lt;=14,G58*N58*VLOOKUP(C58,Segédlet!$C$5:$G$37,2,0),N58*14*VLOOKUP(C58,Segédlet!$C$5:$G$37,2,0)+(G58-14)*N58*VLOOKUP(C58,Segédlet!$C$5:$G$37,3,0)),"")</f>
        <v/>
      </c>
      <c r="T58" s="12" t="str">
        <f t="shared" si="24"/>
        <v/>
      </c>
      <c r="U58" s="12" t="str">
        <f t="shared" si="25"/>
        <v/>
      </c>
      <c r="V58" s="12" t="str">
        <f t="shared" si="16"/>
        <v/>
      </c>
      <c r="W58" s="12" t="str">
        <f t="shared" si="26"/>
        <v/>
      </c>
      <c r="X58" s="51" t="str">
        <f t="shared" si="27"/>
        <v/>
      </c>
      <c r="Y58" s="22" t="str">
        <f t="shared" si="28"/>
        <v/>
      </c>
      <c r="Z58" s="126" t="str">
        <f>IF(B58&lt;&gt;"",IF(B58=Segédlet!$L$6,"Jogosult igényelni","Nem jogosult igényelni"),"")</f>
        <v/>
      </c>
      <c r="AA58" s="11" t="str">
        <f t="shared" si="17"/>
        <v/>
      </c>
      <c r="AB58" s="11" t="str">
        <f t="shared" si="18"/>
        <v/>
      </c>
      <c r="AC58" s="11" t="str">
        <f t="shared" si="29"/>
        <v/>
      </c>
      <c r="AD58" s="11" t="str">
        <f t="shared" si="30"/>
        <v/>
      </c>
      <c r="AE58" s="11" t="str">
        <f t="shared" si="31"/>
        <v/>
      </c>
      <c r="AF58" s="11" t="str">
        <f t="shared" si="32"/>
        <v/>
      </c>
      <c r="AG58" s="6" t="str">
        <f>IF(B58&lt;&gt;"",Segédlet!N54+Segédlet!O54+Segédlet!R54+AF58+AE58,"")</f>
        <v/>
      </c>
    </row>
    <row r="59" spans="1:33" s="7" customFormat="1" x14ac:dyDescent="0.2">
      <c r="A59" s="9" t="str">
        <f t="shared" si="19"/>
        <v xml:space="preserve"> </v>
      </c>
      <c r="B59" s="10"/>
      <c r="C59" s="18"/>
      <c r="D59" s="21" t="str">
        <f>IF(C59&lt;&gt;"",INDEX(Segédlet!$B$5:$B$37,MATCH(C59,Segédlet!$C$5:$C$37,0)),"")</f>
        <v/>
      </c>
      <c r="E59" s="19"/>
      <c r="F59" s="8"/>
      <c r="G59" s="5" t="str">
        <f t="shared" si="21"/>
        <v/>
      </c>
      <c r="H59" s="8" t="str">
        <f t="shared" si="22"/>
        <v/>
      </c>
      <c r="I59" s="8" t="str">
        <f t="shared" si="1"/>
        <v/>
      </c>
      <c r="J59" s="8" t="str">
        <f t="shared" si="13"/>
        <v/>
      </c>
      <c r="K59" s="8" t="str">
        <f t="shared" si="2"/>
        <v/>
      </c>
      <c r="L59" s="8" t="str">
        <f t="shared" si="14"/>
        <v/>
      </c>
      <c r="M59" s="8" t="str">
        <f t="shared" si="15"/>
        <v/>
      </c>
      <c r="N59" s="11"/>
      <c r="O59" s="11" t="str">
        <f t="shared" si="23"/>
        <v/>
      </c>
      <c r="P59" s="20"/>
      <c r="Q59" s="6" t="str">
        <f>IF(B59&lt;&gt;"",IF(AND(I59&gt;0,U59&gt;0),(N59+K59-I59)*VLOOKUP(P59,Segédlet!$I$5:$J$12,2,0),(N59+K59)*VLOOKUP(P59,Segédlet!$I$5:$J$12,2,0)),"")</f>
        <v/>
      </c>
      <c r="R59" s="6" t="str">
        <f>IF(B59&lt;&gt;"",IF((L59+M59)&lt;=14,(L59+M59)*K59*VLOOKUP(C59,Segédlet!$C$5:$G$37,4,0),K59*14*VLOOKUP(C59,Segédlet!$C$5:$G$37,4,0)+((L59+M59)-14)*K59*VLOOKUP(C59,Segédlet!$C$5:$G$37,5,0)),"")</f>
        <v/>
      </c>
      <c r="S59" s="6" t="str">
        <f>IF(B59&lt;&gt;"",IF(G59&lt;=14,G59*N59*VLOOKUP(C59,Segédlet!$C$5:$G$37,2,0),N59*14*VLOOKUP(C59,Segédlet!$C$5:$G$37,2,0)+(G59-14)*N59*VLOOKUP(C59,Segédlet!$C$5:$G$37,3,0)),"")</f>
        <v/>
      </c>
      <c r="T59" s="12" t="str">
        <f t="shared" si="24"/>
        <v/>
      </c>
      <c r="U59" s="12" t="str">
        <f t="shared" si="25"/>
        <v/>
      </c>
      <c r="V59" s="12" t="str">
        <f t="shared" si="16"/>
        <v/>
      </c>
      <c r="W59" s="12" t="str">
        <f t="shared" si="26"/>
        <v/>
      </c>
      <c r="X59" s="51" t="str">
        <f t="shared" si="27"/>
        <v/>
      </c>
      <c r="Y59" s="22" t="str">
        <f t="shared" si="28"/>
        <v/>
      </c>
      <c r="Z59" s="126" t="str">
        <f>IF(B59&lt;&gt;"",IF(B59=Segédlet!$L$6,"Jogosult igényelni","Nem jogosult igényelni"),"")</f>
        <v/>
      </c>
      <c r="AA59" s="11" t="str">
        <f t="shared" si="17"/>
        <v/>
      </c>
      <c r="AB59" s="11" t="str">
        <f t="shared" si="18"/>
        <v/>
      </c>
      <c r="AC59" s="11" t="str">
        <f t="shared" si="29"/>
        <v/>
      </c>
      <c r="AD59" s="11" t="str">
        <f t="shared" si="30"/>
        <v/>
      </c>
      <c r="AE59" s="11" t="str">
        <f t="shared" si="31"/>
        <v/>
      </c>
      <c r="AF59" s="11" t="str">
        <f t="shared" si="32"/>
        <v/>
      </c>
      <c r="AG59" s="6" t="str">
        <f>IF(B59&lt;&gt;"",Segédlet!N55+Segédlet!O55+Segédlet!R55+AF59+AE59,"")</f>
        <v/>
      </c>
    </row>
    <row r="60" spans="1:33" s="7" customFormat="1" x14ac:dyDescent="0.2">
      <c r="A60" s="9" t="str">
        <f t="shared" si="19"/>
        <v xml:space="preserve"> </v>
      </c>
      <c r="B60" s="10"/>
      <c r="C60" s="18"/>
      <c r="D60" s="21" t="str">
        <f>IF(C60&lt;&gt;"",INDEX(Segédlet!$B$5:$B$37,MATCH(C60,Segédlet!$C$5:$C$37,0)),"")</f>
        <v/>
      </c>
      <c r="E60" s="19"/>
      <c r="F60" s="8"/>
      <c r="G60" s="5" t="str">
        <f t="shared" si="21"/>
        <v/>
      </c>
      <c r="H60" s="8" t="str">
        <f t="shared" si="22"/>
        <v/>
      </c>
      <c r="I60" s="8" t="str">
        <f t="shared" si="1"/>
        <v/>
      </c>
      <c r="J60" s="8" t="str">
        <f t="shared" si="13"/>
        <v/>
      </c>
      <c r="K60" s="8" t="str">
        <f t="shared" si="2"/>
        <v/>
      </c>
      <c r="L60" s="8" t="str">
        <f t="shared" si="14"/>
        <v/>
      </c>
      <c r="M60" s="8" t="str">
        <f t="shared" si="15"/>
        <v/>
      </c>
      <c r="N60" s="11"/>
      <c r="O60" s="11" t="str">
        <f t="shared" si="23"/>
        <v/>
      </c>
      <c r="P60" s="20"/>
      <c r="Q60" s="6" t="str">
        <f>IF(B60&lt;&gt;"",IF(AND(I60&gt;0,U60&gt;0),(N60+K60-I60)*VLOOKUP(P60,Segédlet!$I$5:$J$12,2,0),(N60+K60)*VLOOKUP(P60,Segédlet!$I$5:$J$12,2,0)),"")</f>
        <v/>
      </c>
      <c r="R60" s="6" t="str">
        <f>IF(B60&lt;&gt;"",IF((L60+M60)&lt;=14,(L60+M60)*K60*VLOOKUP(C60,Segédlet!$C$5:$G$37,4,0),K60*14*VLOOKUP(C60,Segédlet!$C$5:$G$37,4,0)+((L60+M60)-14)*K60*VLOOKUP(C60,Segédlet!$C$5:$G$37,5,0)),"")</f>
        <v/>
      </c>
      <c r="S60" s="6" t="str">
        <f>IF(B60&lt;&gt;"",IF(G60&lt;=14,G60*N60*VLOOKUP(C60,Segédlet!$C$5:$G$37,2,0),N60*14*VLOOKUP(C60,Segédlet!$C$5:$G$37,2,0)+(G60-14)*N60*VLOOKUP(C60,Segédlet!$C$5:$G$37,3,0)),"")</f>
        <v/>
      </c>
      <c r="T60" s="12" t="str">
        <f t="shared" si="24"/>
        <v/>
      </c>
      <c r="U60" s="12" t="str">
        <f t="shared" si="25"/>
        <v/>
      </c>
      <c r="V60" s="12" t="str">
        <f t="shared" si="16"/>
        <v/>
      </c>
      <c r="W60" s="12" t="str">
        <f t="shared" si="26"/>
        <v/>
      </c>
      <c r="X60" s="51" t="str">
        <f t="shared" si="27"/>
        <v/>
      </c>
      <c r="Y60" s="22" t="str">
        <f t="shared" si="28"/>
        <v/>
      </c>
      <c r="Z60" s="126" t="str">
        <f>IF(B60&lt;&gt;"",IF(B60=Segédlet!$L$6,"Jogosult igényelni","Nem jogosult igényelni"),"")</f>
        <v/>
      </c>
      <c r="AA60" s="11" t="str">
        <f t="shared" si="17"/>
        <v/>
      </c>
      <c r="AB60" s="11" t="str">
        <f t="shared" si="18"/>
        <v/>
      </c>
      <c r="AC60" s="11" t="str">
        <f t="shared" si="29"/>
        <v/>
      </c>
      <c r="AD60" s="11" t="str">
        <f t="shared" si="30"/>
        <v/>
      </c>
      <c r="AE60" s="11" t="str">
        <f t="shared" si="31"/>
        <v/>
      </c>
      <c r="AF60" s="11" t="str">
        <f t="shared" si="32"/>
        <v/>
      </c>
      <c r="AG60" s="6" t="str">
        <f>IF(B60&lt;&gt;"",Segédlet!N56+Segédlet!O56+Segédlet!R56+AF60+AE60,"")</f>
        <v/>
      </c>
    </row>
    <row r="61" spans="1:33" s="7" customFormat="1" x14ac:dyDescent="0.2">
      <c r="A61" s="9" t="str">
        <f t="shared" si="19"/>
        <v xml:space="preserve"> </v>
      </c>
      <c r="B61" s="10"/>
      <c r="C61" s="18"/>
      <c r="D61" s="21" t="str">
        <f>IF(C61&lt;&gt;"",INDEX(Segédlet!$B$5:$B$37,MATCH(C61,Segédlet!$C$5:$C$37,0)),"")</f>
        <v/>
      </c>
      <c r="E61" s="19"/>
      <c r="F61" s="8"/>
      <c r="G61" s="5" t="str">
        <f t="shared" si="21"/>
        <v/>
      </c>
      <c r="H61" s="8" t="str">
        <f t="shared" si="22"/>
        <v/>
      </c>
      <c r="I61" s="8" t="str">
        <f t="shared" si="1"/>
        <v/>
      </c>
      <c r="J61" s="8" t="str">
        <f t="shared" si="13"/>
        <v/>
      </c>
      <c r="K61" s="8" t="str">
        <f t="shared" si="2"/>
        <v/>
      </c>
      <c r="L61" s="8" t="str">
        <f t="shared" si="14"/>
        <v/>
      </c>
      <c r="M61" s="8" t="str">
        <f t="shared" si="15"/>
        <v/>
      </c>
      <c r="N61" s="11"/>
      <c r="O61" s="11" t="str">
        <f t="shared" si="23"/>
        <v/>
      </c>
      <c r="P61" s="20"/>
      <c r="Q61" s="6" t="str">
        <f>IF(B61&lt;&gt;"",IF(AND(I61&gt;0,U61&gt;0),(N61+K61-I61)*VLOOKUP(P61,Segédlet!$I$5:$J$12,2,0),(N61+K61)*VLOOKUP(P61,Segédlet!$I$5:$J$12,2,0)),"")</f>
        <v/>
      </c>
      <c r="R61" s="6" t="str">
        <f>IF(B61&lt;&gt;"",IF((L61+M61)&lt;=14,(L61+M61)*K61*VLOOKUP(C61,Segédlet!$C$5:$G$37,4,0),K61*14*VLOOKUP(C61,Segédlet!$C$5:$G$37,4,0)+((L61+M61)-14)*K61*VLOOKUP(C61,Segédlet!$C$5:$G$37,5,0)),"")</f>
        <v/>
      </c>
      <c r="S61" s="6" t="str">
        <f>IF(B61&lt;&gt;"",IF(G61&lt;=14,G61*N61*VLOOKUP(C61,Segédlet!$C$5:$G$37,2,0),N61*14*VLOOKUP(C61,Segédlet!$C$5:$G$37,2,0)+(G61-14)*N61*VLOOKUP(C61,Segédlet!$C$5:$G$37,3,0)),"")</f>
        <v/>
      </c>
      <c r="T61" s="12" t="str">
        <f t="shared" si="24"/>
        <v/>
      </c>
      <c r="U61" s="12" t="str">
        <f t="shared" si="25"/>
        <v/>
      </c>
      <c r="V61" s="12" t="str">
        <f t="shared" si="16"/>
        <v/>
      </c>
      <c r="W61" s="12" t="str">
        <f t="shared" si="26"/>
        <v/>
      </c>
      <c r="X61" s="51" t="str">
        <f t="shared" si="27"/>
        <v/>
      </c>
      <c r="Y61" s="22" t="str">
        <f t="shared" si="28"/>
        <v/>
      </c>
      <c r="Z61" s="126" t="str">
        <f>IF(B61&lt;&gt;"",IF(B61=Segédlet!$L$6,"Jogosult igényelni","Nem jogosult igényelni"),"")</f>
        <v/>
      </c>
      <c r="AA61" s="11" t="str">
        <f t="shared" si="17"/>
        <v/>
      </c>
      <c r="AB61" s="11" t="str">
        <f t="shared" si="18"/>
        <v/>
      </c>
      <c r="AC61" s="11" t="str">
        <f t="shared" si="29"/>
        <v/>
      </c>
      <c r="AD61" s="11" t="str">
        <f t="shared" si="30"/>
        <v/>
      </c>
      <c r="AE61" s="11" t="str">
        <f t="shared" si="31"/>
        <v/>
      </c>
      <c r="AF61" s="11" t="str">
        <f t="shared" si="32"/>
        <v/>
      </c>
      <c r="AG61" s="6" t="str">
        <f>IF(B61&lt;&gt;"",Segédlet!N57+Segédlet!O57+Segédlet!R57+AF61+AE61,"")</f>
        <v/>
      </c>
    </row>
    <row r="62" spans="1:33" s="7" customFormat="1" x14ac:dyDescent="0.2">
      <c r="A62" s="9" t="str">
        <f t="shared" si="19"/>
        <v xml:space="preserve"> </v>
      </c>
      <c r="B62" s="10"/>
      <c r="C62" s="18"/>
      <c r="D62" s="21" t="str">
        <f>IF(C62&lt;&gt;"",INDEX(Segédlet!$B$5:$B$37,MATCH(C62,Segédlet!$C$5:$C$37,0)),"")</f>
        <v/>
      </c>
      <c r="E62" s="19"/>
      <c r="F62" s="8"/>
      <c r="G62" s="5" t="str">
        <f t="shared" si="21"/>
        <v/>
      </c>
      <c r="H62" s="8" t="str">
        <f t="shared" si="22"/>
        <v/>
      </c>
      <c r="I62" s="8" t="str">
        <f t="shared" si="1"/>
        <v/>
      </c>
      <c r="J62" s="8" t="str">
        <f t="shared" si="13"/>
        <v/>
      </c>
      <c r="K62" s="8" t="str">
        <f t="shared" si="2"/>
        <v/>
      </c>
      <c r="L62" s="8" t="str">
        <f t="shared" si="14"/>
        <v/>
      </c>
      <c r="M62" s="8" t="str">
        <f t="shared" si="15"/>
        <v/>
      </c>
      <c r="N62" s="11"/>
      <c r="O62" s="11" t="str">
        <f t="shared" si="23"/>
        <v/>
      </c>
      <c r="P62" s="20"/>
      <c r="Q62" s="6" t="str">
        <f>IF(B62&lt;&gt;"",IF(AND(I62&gt;0,U62&gt;0),(N62+K62-I62)*VLOOKUP(P62,Segédlet!$I$5:$J$12,2,0),(N62+K62)*VLOOKUP(P62,Segédlet!$I$5:$J$12,2,0)),"")</f>
        <v/>
      </c>
      <c r="R62" s="6" t="str">
        <f>IF(B62&lt;&gt;"",IF((L62+M62)&lt;=14,(L62+M62)*K62*VLOOKUP(C62,Segédlet!$C$5:$G$37,4,0),K62*14*VLOOKUP(C62,Segédlet!$C$5:$G$37,4,0)+((L62+M62)-14)*K62*VLOOKUP(C62,Segédlet!$C$5:$G$37,5,0)),"")</f>
        <v/>
      </c>
      <c r="S62" s="6" t="str">
        <f>IF(B62&lt;&gt;"",IF(G62&lt;=14,G62*N62*VLOOKUP(C62,Segédlet!$C$5:$G$37,2,0),N62*14*VLOOKUP(C62,Segédlet!$C$5:$G$37,2,0)+(G62-14)*N62*VLOOKUP(C62,Segédlet!$C$5:$G$37,3,0)),"")</f>
        <v/>
      </c>
      <c r="T62" s="12" t="str">
        <f t="shared" si="24"/>
        <v/>
      </c>
      <c r="U62" s="12" t="str">
        <f t="shared" si="25"/>
        <v/>
      </c>
      <c r="V62" s="12" t="str">
        <f t="shared" si="16"/>
        <v/>
      </c>
      <c r="W62" s="12" t="str">
        <f t="shared" si="26"/>
        <v/>
      </c>
      <c r="X62" s="51" t="str">
        <f t="shared" si="27"/>
        <v/>
      </c>
      <c r="Y62" s="22" t="str">
        <f t="shared" si="28"/>
        <v/>
      </c>
      <c r="Z62" s="126" t="str">
        <f>IF(B62&lt;&gt;"",IF(B62=Segédlet!$L$6,"Jogosult igényelni","Nem jogosult igényelni"),"")</f>
        <v/>
      </c>
      <c r="AA62" s="11" t="str">
        <f t="shared" si="17"/>
        <v/>
      </c>
      <c r="AB62" s="11" t="str">
        <f t="shared" si="18"/>
        <v/>
      </c>
      <c r="AC62" s="11" t="str">
        <f t="shared" si="29"/>
        <v/>
      </c>
      <c r="AD62" s="11" t="str">
        <f t="shared" si="30"/>
        <v/>
      </c>
      <c r="AE62" s="11" t="str">
        <f t="shared" si="31"/>
        <v/>
      </c>
      <c r="AF62" s="11" t="str">
        <f t="shared" si="32"/>
        <v/>
      </c>
      <c r="AG62" s="6" t="str">
        <f>IF(B62&lt;&gt;"",Segédlet!N58+Segédlet!O58+Segédlet!R58+AF62+AE62,"")</f>
        <v/>
      </c>
    </row>
    <row r="63" spans="1:33" s="7" customFormat="1" x14ac:dyDescent="0.2">
      <c r="A63" s="9" t="str">
        <f t="shared" si="19"/>
        <v xml:space="preserve"> </v>
      </c>
      <c r="B63" s="10"/>
      <c r="C63" s="18"/>
      <c r="D63" s="21" t="str">
        <f>IF(C63&lt;&gt;"",INDEX(Segédlet!$B$5:$B$37,MATCH(C63,Segédlet!$C$5:$C$37,0)),"")</f>
        <v/>
      </c>
      <c r="E63" s="19"/>
      <c r="F63" s="8"/>
      <c r="G63" s="5" t="str">
        <f t="shared" si="21"/>
        <v/>
      </c>
      <c r="H63" s="8" t="str">
        <f t="shared" si="22"/>
        <v/>
      </c>
      <c r="I63" s="8" t="str">
        <f t="shared" si="1"/>
        <v/>
      </c>
      <c r="J63" s="8" t="str">
        <f t="shared" si="13"/>
        <v/>
      </c>
      <c r="K63" s="8" t="str">
        <f t="shared" si="2"/>
        <v/>
      </c>
      <c r="L63" s="8" t="str">
        <f t="shared" si="14"/>
        <v/>
      </c>
      <c r="M63" s="8" t="str">
        <f t="shared" si="15"/>
        <v/>
      </c>
      <c r="N63" s="11"/>
      <c r="O63" s="11" t="str">
        <f t="shared" si="23"/>
        <v/>
      </c>
      <c r="P63" s="20"/>
      <c r="Q63" s="6" t="str">
        <f>IF(B63&lt;&gt;"",IF(AND(I63&gt;0,U63&gt;0),(N63+K63-I63)*VLOOKUP(P63,Segédlet!$I$5:$J$12,2,0),(N63+K63)*VLOOKUP(P63,Segédlet!$I$5:$J$12,2,0)),"")</f>
        <v/>
      </c>
      <c r="R63" s="6" t="str">
        <f>IF(B63&lt;&gt;"",IF((L63+M63)&lt;=14,(L63+M63)*K63*VLOOKUP(C63,Segédlet!$C$5:$G$37,4,0),K63*14*VLOOKUP(C63,Segédlet!$C$5:$G$37,4,0)+((L63+M63)-14)*K63*VLOOKUP(C63,Segédlet!$C$5:$G$37,5,0)),"")</f>
        <v/>
      </c>
      <c r="S63" s="6" t="str">
        <f>IF(B63&lt;&gt;"",IF(G63&lt;=14,G63*N63*VLOOKUP(C63,Segédlet!$C$5:$G$37,2,0),N63*14*VLOOKUP(C63,Segédlet!$C$5:$G$37,2,0)+(G63-14)*N63*VLOOKUP(C63,Segédlet!$C$5:$G$37,3,0)),"")</f>
        <v/>
      </c>
      <c r="T63" s="12" t="str">
        <f t="shared" si="24"/>
        <v/>
      </c>
      <c r="U63" s="12" t="str">
        <f t="shared" si="25"/>
        <v/>
      </c>
      <c r="V63" s="12" t="str">
        <f t="shared" si="16"/>
        <v/>
      </c>
      <c r="W63" s="12" t="str">
        <f t="shared" si="26"/>
        <v/>
      </c>
      <c r="X63" s="51" t="str">
        <f t="shared" si="27"/>
        <v/>
      </c>
      <c r="Y63" s="22" t="str">
        <f t="shared" si="28"/>
        <v/>
      </c>
      <c r="Z63" s="126" t="str">
        <f>IF(B63&lt;&gt;"",IF(B63=Segédlet!$L$6,"Jogosult igényelni","Nem jogosult igényelni"),"")</f>
        <v/>
      </c>
      <c r="AA63" s="11" t="str">
        <f t="shared" si="17"/>
        <v/>
      </c>
      <c r="AB63" s="11" t="str">
        <f t="shared" si="18"/>
        <v/>
      </c>
      <c r="AC63" s="11" t="str">
        <f t="shared" si="29"/>
        <v/>
      </c>
      <c r="AD63" s="11" t="str">
        <f t="shared" si="30"/>
        <v/>
      </c>
      <c r="AE63" s="11" t="str">
        <f t="shared" si="31"/>
        <v/>
      </c>
      <c r="AF63" s="11" t="str">
        <f t="shared" si="32"/>
        <v/>
      </c>
      <c r="AG63" s="6" t="str">
        <f>IF(B63&lt;&gt;"",Segédlet!N59+Segédlet!O59+Segédlet!R59+AF63+AE63,"")</f>
        <v/>
      </c>
    </row>
    <row r="64" spans="1:33" s="7" customFormat="1" x14ac:dyDescent="0.2">
      <c r="A64" s="9" t="str">
        <f t="shared" si="19"/>
        <v xml:space="preserve"> </v>
      </c>
      <c r="B64" s="10"/>
      <c r="C64" s="18"/>
      <c r="D64" s="21" t="str">
        <f>IF(C64&lt;&gt;"",INDEX(Segédlet!$B$5:$B$37,MATCH(C64,Segédlet!$C$5:$C$37,0)),"")</f>
        <v/>
      </c>
      <c r="E64" s="19"/>
      <c r="F64" s="8"/>
      <c r="G64" s="5" t="str">
        <f t="shared" si="21"/>
        <v/>
      </c>
      <c r="H64" s="8" t="str">
        <f t="shared" si="22"/>
        <v/>
      </c>
      <c r="I64" s="8" t="str">
        <f t="shared" si="1"/>
        <v/>
      </c>
      <c r="J64" s="8" t="str">
        <f t="shared" si="13"/>
        <v/>
      </c>
      <c r="K64" s="8" t="str">
        <f t="shared" si="2"/>
        <v/>
      </c>
      <c r="L64" s="8" t="str">
        <f t="shared" si="14"/>
        <v/>
      </c>
      <c r="M64" s="8" t="str">
        <f t="shared" si="15"/>
        <v/>
      </c>
      <c r="N64" s="11"/>
      <c r="O64" s="11" t="str">
        <f t="shared" si="23"/>
        <v/>
      </c>
      <c r="P64" s="20"/>
      <c r="Q64" s="6" t="str">
        <f>IF(B64&lt;&gt;"",IF(AND(I64&gt;0,U64&gt;0),(N64+K64-I64)*VLOOKUP(P64,Segédlet!$I$5:$J$12,2,0),(N64+K64)*VLOOKUP(P64,Segédlet!$I$5:$J$12,2,0)),"")</f>
        <v/>
      </c>
      <c r="R64" s="6" t="str">
        <f>IF(B64&lt;&gt;"",IF((L64+M64)&lt;=14,(L64+M64)*K64*VLOOKUP(C64,Segédlet!$C$5:$G$37,4,0),K64*14*VLOOKUP(C64,Segédlet!$C$5:$G$37,4,0)+((L64+M64)-14)*K64*VLOOKUP(C64,Segédlet!$C$5:$G$37,5,0)),"")</f>
        <v/>
      </c>
      <c r="S64" s="6" t="str">
        <f>IF(B64&lt;&gt;"",IF(G64&lt;=14,G64*N64*VLOOKUP(C64,Segédlet!$C$5:$G$37,2,0),N64*14*VLOOKUP(C64,Segédlet!$C$5:$G$37,2,0)+(G64-14)*N64*VLOOKUP(C64,Segédlet!$C$5:$G$37,3,0)),"")</f>
        <v/>
      </c>
      <c r="T64" s="12" t="str">
        <f t="shared" si="24"/>
        <v/>
      </c>
      <c r="U64" s="12" t="str">
        <f t="shared" si="25"/>
        <v/>
      </c>
      <c r="V64" s="12" t="str">
        <f t="shared" si="16"/>
        <v/>
      </c>
      <c r="W64" s="12" t="str">
        <f t="shared" si="26"/>
        <v/>
      </c>
      <c r="X64" s="51" t="str">
        <f t="shared" si="27"/>
        <v/>
      </c>
      <c r="Y64" s="22" t="str">
        <f t="shared" si="28"/>
        <v/>
      </c>
      <c r="Z64" s="126" t="str">
        <f>IF(B64&lt;&gt;"",IF(B64=Segédlet!$L$6,"Jogosult igényelni","Nem jogosult igényelni"),"")</f>
        <v/>
      </c>
      <c r="AA64" s="11" t="str">
        <f t="shared" si="17"/>
        <v/>
      </c>
      <c r="AB64" s="11" t="str">
        <f t="shared" si="18"/>
        <v/>
      </c>
      <c r="AC64" s="11" t="str">
        <f t="shared" si="29"/>
        <v/>
      </c>
      <c r="AD64" s="11" t="str">
        <f t="shared" si="30"/>
        <v/>
      </c>
      <c r="AE64" s="11" t="str">
        <f t="shared" si="31"/>
        <v/>
      </c>
      <c r="AF64" s="11" t="str">
        <f t="shared" si="32"/>
        <v/>
      </c>
      <c r="AG64" s="6" t="str">
        <f>IF(B64&lt;&gt;"",Segédlet!N60+Segédlet!O60+Segédlet!R60+AF64+AE64,"")</f>
        <v/>
      </c>
    </row>
    <row r="65" spans="1:33" s="7" customFormat="1" x14ac:dyDescent="0.2">
      <c r="A65" s="9" t="str">
        <f t="shared" si="19"/>
        <v xml:space="preserve"> </v>
      </c>
      <c r="B65" s="10"/>
      <c r="C65" s="18"/>
      <c r="D65" s="21" t="str">
        <f>IF(C65&lt;&gt;"",INDEX(Segédlet!$B$5:$B$37,MATCH(C65,Segédlet!$C$5:$C$37,0)),"")</f>
        <v/>
      </c>
      <c r="E65" s="19"/>
      <c r="F65" s="8"/>
      <c r="G65" s="5" t="str">
        <f t="shared" si="21"/>
        <v/>
      </c>
      <c r="H65" s="8" t="str">
        <f t="shared" si="22"/>
        <v/>
      </c>
      <c r="I65" s="8" t="str">
        <f t="shared" si="1"/>
        <v/>
      </c>
      <c r="J65" s="8" t="str">
        <f t="shared" si="13"/>
        <v/>
      </c>
      <c r="K65" s="8" t="str">
        <f t="shared" si="2"/>
        <v/>
      </c>
      <c r="L65" s="8" t="str">
        <f t="shared" si="14"/>
        <v/>
      </c>
      <c r="M65" s="8" t="str">
        <f t="shared" si="15"/>
        <v/>
      </c>
      <c r="N65" s="11"/>
      <c r="O65" s="11" t="str">
        <f t="shared" si="23"/>
        <v/>
      </c>
      <c r="P65" s="20"/>
      <c r="Q65" s="6" t="str">
        <f>IF(B65&lt;&gt;"",IF(AND(I65&gt;0,U65&gt;0),(N65+K65-I65)*VLOOKUP(P65,Segédlet!$I$5:$J$12,2,0),(N65+K65)*VLOOKUP(P65,Segédlet!$I$5:$J$12,2,0)),"")</f>
        <v/>
      </c>
      <c r="R65" s="6" t="str">
        <f>IF(B65&lt;&gt;"",IF((L65+M65)&lt;=14,(L65+M65)*K65*VLOOKUP(C65,Segédlet!$C$5:$G$37,4,0),K65*14*VLOOKUP(C65,Segédlet!$C$5:$G$37,4,0)+((L65+M65)-14)*K65*VLOOKUP(C65,Segédlet!$C$5:$G$37,5,0)),"")</f>
        <v/>
      </c>
      <c r="S65" s="6" t="str">
        <f>IF(B65&lt;&gt;"",IF(G65&lt;=14,G65*N65*VLOOKUP(C65,Segédlet!$C$5:$G$37,2,0),N65*14*VLOOKUP(C65,Segédlet!$C$5:$G$37,2,0)+(G65-14)*N65*VLOOKUP(C65,Segédlet!$C$5:$G$37,3,0)),"")</f>
        <v/>
      </c>
      <c r="T65" s="12" t="str">
        <f t="shared" si="24"/>
        <v/>
      </c>
      <c r="U65" s="12" t="str">
        <f t="shared" si="25"/>
        <v/>
      </c>
      <c r="V65" s="12" t="str">
        <f t="shared" si="16"/>
        <v/>
      </c>
      <c r="W65" s="12" t="str">
        <f t="shared" si="26"/>
        <v/>
      </c>
      <c r="X65" s="51" t="str">
        <f t="shared" si="27"/>
        <v/>
      </c>
      <c r="Y65" s="22" t="str">
        <f t="shared" si="28"/>
        <v/>
      </c>
      <c r="Z65" s="126" t="str">
        <f>IF(B65&lt;&gt;"",IF(B65=Segédlet!$L$6,"Jogosult igényelni","Nem jogosult igényelni"),"")</f>
        <v/>
      </c>
      <c r="AA65" s="11" t="str">
        <f t="shared" si="17"/>
        <v/>
      </c>
      <c r="AB65" s="11" t="str">
        <f t="shared" si="18"/>
        <v/>
      </c>
      <c r="AC65" s="11" t="str">
        <f t="shared" si="29"/>
        <v/>
      </c>
      <c r="AD65" s="11" t="str">
        <f t="shared" si="30"/>
        <v/>
      </c>
      <c r="AE65" s="11" t="str">
        <f t="shared" si="31"/>
        <v/>
      </c>
      <c r="AF65" s="11" t="str">
        <f t="shared" si="32"/>
        <v/>
      </c>
      <c r="AG65" s="6" t="str">
        <f>IF(B65&lt;&gt;"",Segédlet!N61+Segédlet!O61+Segédlet!R61+AF65+AE65,"")</f>
        <v/>
      </c>
    </row>
    <row r="66" spans="1:33" s="7" customFormat="1" x14ac:dyDescent="0.2">
      <c r="A66" s="9" t="str">
        <f t="shared" si="19"/>
        <v xml:space="preserve"> </v>
      </c>
      <c r="B66" s="10"/>
      <c r="C66" s="18"/>
      <c r="D66" s="21" t="str">
        <f>IF(C66&lt;&gt;"",INDEX(Segédlet!$B$5:$B$37,MATCH(C66,Segédlet!$C$5:$C$37,0)),"")</f>
        <v/>
      </c>
      <c r="E66" s="19"/>
      <c r="F66" s="8"/>
      <c r="G66" s="5" t="str">
        <f t="shared" si="21"/>
        <v/>
      </c>
      <c r="H66" s="8" t="str">
        <f t="shared" si="22"/>
        <v/>
      </c>
      <c r="I66" s="8" t="str">
        <f t="shared" si="1"/>
        <v/>
      </c>
      <c r="J66" s="8" t="str">
        <f t="shared" si="13"/>
        <v/>
      </c>
      <c r="K66" s="8" t="str">
        <f t="shared" si="2"/>
        <v/>
      </c>
      <c r="L66" s="8" t="str">
        <f t="shared" si="14"/>
        <v/>
      </c>
      <c r="M66" s="8" t="str">
        <f t="shared" si="15"/>
        <v/>
      </c>
      <c r="N66" s="11"/>
      <c r="O66" s="11" t="str">
        <f t="shared" si="23"/>
        <v/>
      </c>
      <c r="P66" s="20"/>
      <c r="Q66" s="6" t="str">
        <f>IF(B66&lt;&gt;"",IF(AND(I66&gt;0,U66&gt;0),(N66+K66-I66)*VLOOKUP(P66,Segédlet!$I$5:$J$12,2,0),(N66+K66)*VLOOKUP(P66,Segédlet!$I$5:$J$12,2,0)),"")</f>
        <v/>
      </c>
      <c r="R66" s="6" t="str">
        <f>IF(B66&lt;&gt;"",IF((L66+M66)&lt;=14,(L66+M66)*K66*VLOOKUP(C66,Segédlet!$C$5:$G$37,4,0),K66*14*VLOOKUP(C66,Segédlet!$C$5:$G$37,4,0)+((L66+M66)-14)*K66*VLOOKUP(C66,Segédlet!$C$5:$G$37,5,0)),"")</f>
        <v/>
      </c>
      <c r="S66" s="6" t="str">
        <f>IF(B66&lt;&gt;"",IF(G66&lt;=14,G66*N66*VLOOKUP(C66,Segédlet!$C$5:$G$37,2,0),N66*14*VLOOKUP(C66,Segédlet!$C$5:$G$37,2,0)+(G66-14)*N66*VLOOKUP(C66,Segédlet!$C$5:$G$37,3,0)),"")</f>
        <v/>
      </c>
      <c r="T66" s="12" t="str">
        <f t="shared" si="24"/>
        <v/>
      </c>
      <c r="U66" s="12" t="str">
        <f t="shared" si="25"/>
        <v/>
      </c>
      <c r="V66" s="12" t="str">
        <f t="shared" si="16"/>
        <v/>
      </c>
      <c r="W66" s="12" t="str">
        <f t="shared" si="26"/>
        <v/>
      </c>
      <c r="X66" s="51" t="str">
        <f t="shared" si="27"/>
        <v/>
      </c>
      <c r="Y66" s="22" t="str">
        <f t="shared" si="28"/>
        <v/>
      </c>
      <c r="Z66" s="126" t="str">
        <f>IF(B66&lt;&gt;"",IF(B66=Segédlet!$L$6,"Jogosult igényelni","Nem jogosult igényelni"),"")</f>
        <v/>
      </c>
      <c r="AA66" s="11" t="str">
        <f t="shared" si="17"/>
        <v/>
      </c>
      <c r="AB66" s="11" t="str">
        <f t="shared" si="18"/>
        <v/>
      </c>
      <c r="AC66" s="11" t="str">
        <f t="shared" si="29"/>
        <v/>
      </c>
      <c r="AD66" s="11" t="str">
        <f t="shared" si="30"/>
        <v/>
      </c>
      <c r="AE66" s="11" t="str">
        <f t="shared" si="31"/>
        <v/>
      </c>
      <c r="AF66" s="11" t="str">
        <f t="shared" si="32"/>
        <v/>
      </c>
      <c r="AG66" s="6" t="str">
        <f>IF(B66&lt;&gt;"",Segédlet!N62+Segédlet!O62+Segédlet!R62+AF66+AE66,"")</f>
        <v/>
      </c>
    </row>
    <row r="67" spans="1:33" s="7" customFormat="1" x14ac:dyDescent="0.2">
      <c r="A67" s="9" t="str">
        <f t="shared" si="19"/>
        <v xml:space="preserve"> </v>
      </c>
      <c r="B67" s="10"/>
      <c r="C67" s="18"/>
      <c r="D67" s="21" t="str">
        <f>IF(C67&lt;&gt;"",INDEX(Segédlet!$B$5:$B$37,MATCH(C67,Segédlet!$C$5:$C$37,0)),"")</f>
        <v/>
      </c>
      <c r="E67" s="19"/>
      <c r="F67" s="8"/>
      <c r="G67" s="5" t="str">
        <f t="shared" si="21"/>
        <v/>
      </c>
      <c r="H67" s="8" t="str">
        <f t="shared" si="22"/>
        <v/>
      </c>
      <c r="I67" s="8" t="str">
        <f t="shared" si="1"/>
        <v/>
      </c>
      <c r="J67" s="8" t="str">
        <f t="shared" si="13"/>
        <v/>
      </c>
      <c r="K67" s="8" t="str">
        <f t="shared" si="2"/>
        <v/>
      </c>
      <c r="L67" s="8" t="str">
        <f t="shared" si="14"/>
        <v/>
      </c>
      <c r="M67" s="8" t="str">
        <f t="shared" si="15"/>
        <v/>
      </c>
      <c r="N67" s="11"/>
      <c r="O67" s="11" t="str">
        <f t="shared" si="23"/>
        <v/>
      </c>
      <c r="P67" s="20"/>
      <c r="Q67" s="6" t="str">
        <f>IF(B67&lt;&gt;"",IF(AND(I67&gt;0,U67&gt;0),(N67+K67-I67)*VLOOKUP(P67,Segédlet!$I$5:$J$12,2,0),(N67+K67)*VLOOKUP(P67,Segédlet!$I$5:$J$12,2,0)),"")</f>
        <v/>
      </c>
      <c r="R67" s="6" t="str">
        <f>IF(B67&lt;&gt;"",IF((L67+M67)&lt;=14,(L67+M67)*K67*VLOOKUP(C67,Segédlet!$C$5:$G$37,4,0),K67*14*VLOOKUP(C67,Segédlet!$C$5:$G$37,4,0)+((L67+M67)-14)*K67*VLOOKUP(C67,Segédlet!$C$5:$G$37,5,0)),"")</f>
        <v/>
      </c>
      <c r="S67" s="6" t="str">
        <f>IF(B67&lt;&gt;"",IF(G67&lt;=14,G67*N67*VLOOKUP(C67,Segédlet!$C$5:$G$37,2,0),N67*14*VLOOKUP(C67,Segédlet!$C$5:$G$37,2,0)+(G67-14)*N67*VLOOKUP(C67,Segédlet!$C$5:$G$37,3,0)),"")</f>
        <v/>
      </c>
      <c r="T67" s="12" t="str">
        <f t="shared" si="24"/>
        <v/>
      </c>
      <c r="U67" s="12" t="str">
        <f t="shared" si="25"/>
        <v/>
      </c>
      <c r="V67" s="12" t="str">
        <f t="shared" si="16"/>
        <v/>
      </c>
      <c r="W67" s="12" t="str">
        <f t="shared" si="26"/>
        <v/>
      </c>
      <c r="X67" s="51" t="str">
        <f t="shared" si="27"/>
        <v/>
      </c>
      <c r="Y67" s="22" t="str">
        <f t="shared" si="28"/>
        <v/>
      </c>
      <c r="Z67" s="126" t="str">
        <f>IF(B67&lt;&gt;"",IF(B67=Segédlet!$L$6,"Jogosult igényelni","Nem jogosult igényelni"),"")</f>
        <v/>
      </c>
      <c r="AA67" s="11" t="str">
        <f t="shared" si="17"/>
        <v/>
      </c>
      <c r="AB67" s="11" t="str">
        <f t="shared" si="18"/>
        <v/>
      </c>
      <c r="AC67" s="11" t="str">
        <f t="shared" si="29"/>
        <v/>
      </c>
      <c r="AD67" s="11" t="str">
        <f t="shared" si="30"/>
        <v/>
      </c>
      <c r="AE67" s="11" t="str">
        <f t="shared" si="31"/>
        <v/>
      </c>
      <c r="AF67" s="11" t="str">
        <f t="shared" si="32"/>
        <v/>
      </c>
      <c r="AG67" s="6" t="str">
        <f>IF(B67&lt;&gt;"",Segédlet!N63+Segédlet!O63+Segédlet!R63+AF67+AE67,"")</f>
        <v/>
      </c>
    </row>
    <row r="68" spans="1:33" s="7" customFormat="1" x14ac:dyDescent="0.2">
      <c r="A68" s="9" t="str">
        <f t="shared" si="19"/>
        <v xml:space="preserve"> </v>
      </c>
      <c r="B68" s="10"/>
      <c r="C68" s="18"/>
      <c r="D68" s="21" t="str">
        <f>IF(C68&lt;&gt;"",INDEX(Segédlet!$B$5:$B$37,MATCH(C68,Segédlet!$C$5:$C$37,0)),"")</f>
        <v/>
      </c>
      <c r="E68" s="19"/>
      <c r="F68" s="8"/>
      <c r="G68" s="5" t="str">
        <f t="shared" si="21"/>
        <v/>
      </c>
      <c r="H68" s="8" t="str">
        <f t="shared" si="22"/>
        <v/>
      </c>
      <c r="I68" s="8" t="str">
        <f t="shared" si="1"/>
        <v/>
      </c>
      <c r="J68" s="8" t="str">
        <f t="shared" si="13"/>
        <v/>
      </c>
      <c r="K68" s="8" t="str">
        <f t="shared" si="2"/>
        <v/>
      </c>
      <c r="L68" s="8" t="str">
        <f t="shared" si="14"/>
        <v/>
      </c>
      <c r="M68" s="8" t="str">
        <f t="shared" si="15"/>
        <v/>
      </c>
      <c r="N68" s="11"/>
      <c r="O68" s="11" t="str">
        <f t="shared" si="23"/>
        <v/>
      </c>
      <c r="P68" s="20"/>
      <c r="Q68" s="6" t="str">
        <f>IF(B68&lt;&gt;"",IF(AND(I68&gt;0,U68&gt;0),(N68+K68-I68)*VLOOKUP(P68,Segédlet!$I$5:$J$12,2,0),(N68+K68)*VLOOKUP(P68,Segédlet!$I$5:$J$12,2,0)),"")</f>
        <v/>
      </c>
      <c r="R68" s="6" t="str">
        <f>IF(B68&lt;&gt;"",IF((L68+M68)&lt;=14,(L68+M68)*K68*VLOOKUP(C68,Segédlet!$C$5:$G$37,4,0),K68*14*VLOOKUP(C68,Segédlet!$C$5:$G$37,4,0)+((L68+M68)-14)*K68*VLOOKUP(C68,Segédlet!$C$5:$G$37,5,0)),"")</f>
        <v/>
      </c>
      <c r="S68" s="6" t="str">
        <f>IF(B68&lt;&gt;"",IF(G68&lt;=14,G68*N68*VLOOKUP(C68,Segédlet!$C$5:$G$37,2,0),N68*14*VLOOKUP(C68,Segédlet!$C$5:$G$37,2,0)+(G68-14)*N68*VLOOKUP(C68,Segédlet!$C$5:$G$37,3,0)),"")</f>
        <v/>
      </c>
      <c r="T68" s="12" t="str">
        <f t="shared" si="24"/>
        <v/>
      </c>
      <c r="U68" s="12" t="str">
        <f t="shared" si="25"/>
        <v/>
      </c>
      <c r="V68" s="12" t="str">
        <f t="shared" si="16"/>
        <v/>
      </c>
      <c r="W68" s="12" t="str">
        <f t="shared" si="26"/>
        <v/>
      </c>
      <c r="X68" s="51" t="str">
        <f t="shared" si="27"/>
        <v/>
      </c>
      <c r="Y68" s="22" t="str">
        <f t="shared" si="28"/>
        <v/>
      </c>
      <c r="Z68" s="126" t="str">
        <f>IF(B68&lt;&gt;"",IF(B68=Segédlet!$L$6,"Jogosult igényelni","Nem jogosult igényelni"),"")</f>
        <v/>
      </c>
      <c r="AA68" s="11" t="str">
        <f t="shared" si="17"/>
        <v/>
      </c>
      <c r="AB68" s="11" t="str">
        <f t="shared" si="18"/>
        <v/>
      </c>
      <c r="AC68" s="11" t="str">
        <f t="shared" si="29"/>
        <v/>
      </c>
      <c r="AD68" s="11" t="str">
        <f t="shared" si="30"/>
        <v/>
      </c>
      <c r="AE68" s="11" t="str">
        <f t="shared" si="31"/>
        <v/>
      </c>
      <c r="AF68" s="11" t="str">
        <f t="shared" si="32"/>
        <v/>
      </c>
      <c r="AG68" s="6" t="str">
        <f>IF(B68&lt;&gt;"",Segédlet!N64+Segédlet!O64+Segédlet!R64+AF68+AE68,"")</f>
        <v/>
      </c>
    </row>
    <row r="69" spans="1:33" s="7" customFormat="1" x14ac:dyDescent="0.2">
      <c r="A69" s="9" t="str">
        <f t="shared" si="19"/>
        <v xml:space="preserve"> </v>
      </c>
      <c r="B69" s="10"/>
      <c r="C69" s="18"/>
      <c r="D69" s="21" t="str">
        <f>IF(C69&lt;&gt;"",INDEX(Segédlet!$B$5:$B$37,MATCH(C69,Segédlet!$C$5:$C$37,0)),"")</f>
        <v/>
      </c>
      <c r="E69" s="19"/>
      <c r="F69" s="8"/>
      <c r="G69" s="5" t="str">
        <f t="shared" si="21"/>
        <v/>
      </c>
      <c r="H69" s="8" t="str">
        <f t="shared" si="22"/>
        <v/>
      </c>
      <c r="I69" s="8" t="str">
        <f t="shared" si="1"/>
        <v/>
      </c>
      <c r="J69" s="8" t="str">
        <f t="shared" si="13"/>
        <v/>
      </c>
      <c r="K69" s="8" t="str">
        <f t="shared" si="2"/>
        <v/>
      </c>
      <c r="L69" s="8" t="str">
        <f t="shared" si="14"/>
        <v/>
      </c>
      <c r="M69" s="8" t="str">
        <f t="shared" si="15"/>
        <v/>
      </c>
      <c r="N69" s="11"/>
      <c r="O69" s="11" t="str">
        <f t="shared" si="23"/>
        <v/>
      </c>
      <c r="P69" s="20"/>
      <c r="Q69" s="6" t="str">
        <f>IF(B69&lt;&gt;"",IF(AND(I69&gt;0,U69&gt;0),(N69+K69-I69)*VLOOKUP(P69,Segédlet!$I$5:$J$12,2,0),(N69+K69)*VLOOKUP(P69,Segédlet!$I$5:$J$12,2,0)),"")</f>
        <v/>
      </c>
      <c r="R69" s="6" t="str">
        <f>IF(B69&lt;&gt;"",IF((L69+M69)&lt;=14,(L69+M69)*K69*VLOOKUP(C69,Segédlet!$C$5:$G$37,4,0),K69*14*VLOOKUP(C69,Segédlet!$C$5:$G$37,4,0)+((L69+M69)-14)*K69*VLOOKUP(C69,Segédlet!$C$5:$G$37,5,0)),"")</f>
        <v/>
      </c>
      <c r="S69" s="6" t="str">
        <f>IF(B69&lt;&gt;"",IF(G69&lt;=14,G69*N69*VLOOKUP(C69,Segédlet!$C$5:$G$37,2,0),N69*14*VLOOKUP(C69,Segédlet!$C$5:$G$37,2,0)+(G69-14)*N69*VLOOKUP(C69,Segédlet!$C$5:$G$37,3,0)),"")</f>
        <v/>
      </c>
      <c r="T69" s="12" t="str">
        <f t="shared" si="24"/>
        <v/>
      </c>
      <c r="U69" s="12" t="str">
        <f t="shared" si="25"/>
        <v/>
      </c>
      <c r="V69" s="12" t="str">
        <f t="shared" si="16"/>
        <v/>
      </c>
      <c r="W69" s="12" t="str">
        <f t="shared" si="26"/>
        <v/>
      </c>
      <c r="X69" s="51" t="str">
        <f t="shared" si="27"/>
        <v/>
      </c>
      <c r="Y69" s="22" t="str">
        <f t="shared" si="28"/>
        <v/>
      </c>
      <c r="Z69" s="126" t="str">
        <f>IF(B69&lt;&gt;"",IF(B69=Segédlet!$L$6,"Jogosult igényelni","Nem jogosult igényelni"),"")</f>
        <v/>
      </c>
      <c r="AA69" s="11" t="str">
        <f t="shared" si="17"/>
        <v/>
      </c>
      <c r="AB69" s="11" t="str">
        <f t="shared" si="18"/>
        <v/>
      </c>
      <c r="AC69" s="11" t="str">
        <f t="shared" si="29"/>
        <v/>
      </c>
      <c r="AD69" s="11" t="str">
        <f t="shared" si="30"/>
        <v/>
      </c>
      <c r="AE69" s="11" t="str">
        <f t="shared" si="31"/>
        <v/>
      </c>
      <c r="AF69" s="11" t="str">
        <f t="shared" si="32"/>
        <v/>
      </c>
      <c r="AG69" s="6" t="str">
        <f>IF(B69&lt;&gt;"",Segédlet!N65+Segédlet!O65+Segédlet!R65+AF69+AE69,"")</f>
        <v/>
      </c>
    </row>
    <row r="70" spans="1:33" s="7" customFormat="1" x14ac:dyDescent="0.2">
      <c r="A70" s="9" t="str">
        <f t="shared" si="19"/>
        <v xml:space="preserve"> </v>
      </c>
      <c r="B70" s="10"/>
      <c r="C70" s="18"/>
      <c r="D70" s="21" t="str">
        <f>IF(C70&lt;&gt;"",INDEX(Segédlet!$B$5:$B$37,MATCH(C70,Segédlet!$C$5:$C$37,0)),"")</f>
        <v/>
      </c>
      <c r="E70" s="19"/>
      <c r="F70" s="8"/>
      <c r="G70" s="5" t="str">
        <f t="shared" si="21"/>
        <v/>
      </c>
      <c r="H70" s="8" t="str">
        <f t="shared" si="22"/>
        <v/>
      </c>
      <c r="I70" s="8" t="str">
        <f t="shared" si="1"/>
        <v/>
      </c>
      <c r="J70" s="8" t="str">
        <f t="shared" si="13"/>
        <v/>
      </c>
      <c r="K70" s="8" t="str">
        <f t="shared" si="2"/>
        <v/>
      </c>
      <c r="L70" s="8" t="str">
        <f t="shared" si="14"/>
        <v/>
      </c>
      <c r="M70" s="8" t="str">
        <f t="shared" si="15"/>
        <v/>
      </c>
      <c r="N70" s="11"/>
      <c r="O70" s="11" t="str">
        <f t="shared" si="23"/>
        <v/>
      </c>
      <c r="P70" s="20"/>
      <c r="Q70" s="6" t="str">
        <f>IF(B70&lt;&gt;"",IF(AND(I70&gt;0,U70&gt;0),(N70+K70-I70)*VLOOKUP(P70,Segédlet!$I$5:$J$12,2,0),(N70+K70)*VLOOKUP(P70,Segédlet!$I$5:$J$12,2,0)),"")</f>
        <v/>
      </c>
      <c r="R70" s="6" t="str">
        <f>IF(B70&lt;&gt;"",IF((L70+M70)&lt;=14,(L70+M70)*K70*VLOOKUP(C70,Segédlet!$C$5:$G$37,4,0),K70*14*VLOOKUP(C70,Segédlet!$C$5:$G$37,4,0)+((L70+M70)-14)*K70*VLOOKUP(C70,Segédlet!$C$5:$G$37,5,0)),"")</f>
        <v/>
      </c>
      <c r="S70" s="6" t="str">
        <f>IF(B70&lt;&gt;"",IF(G70&lt;=14,G70*N70*VLOOKUP(C70,Segédlet!$C$5:$G$37,2,0),N70*14*VLOOKUP(C70,Segédlet!$C$5:$G$37,2,0)+(G70-14)*N70*VLOOKUP(C70,Segédlet!$C$5:$G$37,3,0)),"")</f>
        <v/>
      </c>
      <c r="T70" s="12" t="str">
        <f t="shared" si="24"/>
        <v/>
      </c>
      <c r="U70" s="12" t="str">
        <f t="shared" si="25"/>
        <v/>
      </c>
      <c r="V70" s="12" t="str">
        <f t="shared" si="16"/>
        <v/>
      </c>
      <c r="W70" s="12" t="str">
        <f t="shared" si="26"/>
        <v/>
      </c>
      <c r="X70" s="51" t="str">
        <f t="shared" si="27"/>
        <v/>
      </c>
      <c r="Y70" s="22" t="str">
        <f t="shared" si="28"/>
        <v/>
      </c>
      <c r="Z70" s="126" t="str">
        <f>IF(B70&lt;&gt;"",IF(B70=Segédlet!$L$6,"Jogosult igényelni","Nem jogosult igényelni"),"")</f>
        <v/>
      </c>
      <c r="AA70" s="11" t="str">
        <f t="shared" si="17"/>
        <v/>
      </c>
      <c r="AB70" s="11" t="str">
        <f t="shared" si="18"/>
        <v/>
      </c>
      <c r="AC70" s="11" t="str">
        <f t="shared" si="29"/>
        <v/>
      </c>
      <c r="AD70" s="11" t="str">
        <f t="shared" si="30"/>
        <v/>
      </c>
      <c r="AE70" s="11" t="str">
        <f t="shared" si="31"/>
        <v/>
      </c>
      <c r="AF70" s="11" t="str">
        <f t="shared" si="32"/>
        <v/>
      </c>
      <c r="AG70" s="6" t="str">
        <f>IF(B70&lt;&gt;"",Segédlet!N66+Segédlet!O66+Segédlet!R66+AF70+AE70,"")</f>
        <v/>
      </c>
    </row>
    <row r="71" spans="1:33" s="7" customFormat="1" x14ac:dyDescent="0.2">
      <c r="A71" s="9" t="str">
        <f t="shared" si="19"/>
        <v xml:space="preserve"> </v>
      </c>
      <c r="B71" s="10"/>
      <c r="C71" s="18"/>
      <c r="D71" s="21" t="str">
        <f>IF(C71&lt;&gt;"",INDEX(Segédlet!$B$5:$B$37,MATCH(C71,Segédlet!$C$5:$C$37,0)),"")</f>
        <v/>
      </c>
      <c r="E71" s="19"/>
      <c r="F71" s="8"/>
      <c r="G71" s="5" t="str">
        <f t="shared" ref="G71:G102" si="33">IF(B71&lt;&gt;"",E71+F71,"")</f>
        <v/>
      </c>
      <c r="H71" s="8" t="str">
        <f t="shared" ref="H71:H106" si="34">IF(B71&lt;&gt;"",0,"")</f>
        <v/>
      </c>
      <c r="I71" s="8" t="str">
        <f t="shared" ref="I71:I106" si="35">IF(B71&lt;&gt;"",0,"")</f>
        <v/>
      </c>
      <c r="J71" s="8" t="str">
        <f t="shared" si="13"/>
        <v/>
      </c>
      <c r="K71" s="8" t="str">
        <f t="shared" si="2"/>
        <v/>
      </c>
      <c r="L71" s="8" t="str">
        <f t="shared" si="14"/>
        <v/>
      </c>
      <c r="M71" s="8" t="str">
        <f t="shared" si="15"/>
        <v/>
      </c>
      <c r="N71" s="11"/>
      <c r="O71" s="11" t="str">
        <f t="shared" ref="O71:O106" si="36">IF(B71&lt;&gt;"",0,"")</f>
        <v/>
      </c>
      <c r="P71" s="20"/>
      <c r="Q71" s="6" t="str">
        <f>IF(B71&lt;&gt;"",IF(AND(I71&gt;0,U71&gt;0),(N71+K71-I71)*VLOOKUP(P71,Segédlet!$I$5:$J$12,2,0),(N71+K71)*VLOOKUP(P71,Segédlet!$I$5:$J$12,2,0)),"")</f>
        <v/>
      </c>
      <c r="R71" s="6" t="str">
        <f>IF(B71&lt;&gt;"",IF((L71+M71)&lt;=14,(L71+M71)*K71*VLOOKUP(C71,Segédlet!$C$5:$G$37,4,0),K71*14*VLOOKUP(C71,Segédlet!$C$5:$G$37,4,0)+((L71+M71)-14)*K71*VLOOKUP(C71,Segédlet!$C$5:$G$37,5,0)),"")</f>
        <v/>
      </c>
      <c r="S71" s="6" t="str">
        <f>IF(B71&lt;&gt;"",IF(G71&lt;=14,G71*N71*VLOOKUP(C71,Segédlet!$C$5:$G$37,2,0),N71*14*VLOOKUP(C71,Segédlet!$C$5:$G$37,2,0)+(G71-14)*N71*VLOOKUP(C71,Segédlet!$C$5:$G$37,3,0)),"")</f>
        <v/>
      </c>
      <c r="T71" s="12" t="str">
        <f t="shared" ref="T71:T106" si="37">IF(B71&lt;&gt;"",0,"")</f>
        <v/>
      </c>
      <c r="U71" s="12" t="str">
        <f t="shared" ref="U71:U106" si="38">IF(B71&lt;&gt;"",0,"")</f>
        <v/>
      </c>
      <c r="V71" s="12" t="str">
        <f t="shared" si="16"/>
        <v/>
      </c>
      <c r="W71" s="12" t="str">
        <f t="shared" ref="W71:W106" si="39">IF(B71&lt;&gt;"",0,"")</f>
        <v/>
      </c>
      <c r="X71" s="51" t="str">
        <f t="shared" ref="X71:X102" si="40">IF(B71&lt;&gt;"",W71*150,"")</f>
        <v/>
      </c>
      <c r="Y71" s="22" t="str">
        <f t="shared" ref="Y71:Y106" si="41">IF(B71&lt;&gt;"",SUM(Q71:U71),"")</f>
        <v/>
      </c>
      <c r="Z71" s="126" t="str">
        <f>IF(B71&lt;&gt;"",IF(B71=Segédlet!$L$6,"Jogosult igényelni","Nem jogosult igényelni"),"")</f>
        <v/>
      </c>
      <c r="AA71" s="11" t="str">
        <f t="shared" si="17"/>
        <v/>
      </c>
      <c r="AB71" s="11" t="str">
        <f t="shared" si="18"/>
        <v/>
      </c>
      <c r="AC71" s="11" t="str">
        <f t="shared" si="29"/>
        <v/>
      </c>
      <c r="AD71" s="11" t="str">
        <f t="shared" si="30"/>
        <v/>
      </c>
      <c r="AE71" s="11" t="str">
        <f t="shared" si="31"/>
        <v/>
      </c>
      <c r="AF71" s="11" t="str">
        <f t="shared" si="32"/>
        <v/>
      </c>
      <c r="AG71" s="6" t="str">
        <f>IF(B71&lt;&gt;"",Segédlet!N67+Segédlet!O67+Segédlet!R67+AF71+AE71,"")</f>
        <v/>
      </c>
    </row>
    <row r="72" spans="1:33" s="7" customFormat="1" x14ac:dyDescent="0.2">
      <c r="A72" s="9" t="str">
        <f t="shared" si="19"/>
        <v xml:space="preserve"> </v>
      </c>
      <c r="B72" s="10"/>
      <c r="C72" s="18"/>
      <c r="D72" s="21" t="str">
        <f>IF(C72&lt;&gt;"",INDEX(Segédlet!$B$5:$B$37,MATCH(C72,Segédlet!$C$5:$C$37,0)),"")</f>
        <v/>
      </c>
      <c r="E72" s="19"/>
      <c r="F72" s="8"/>
      <c r="G72" s="5" t="str">
        <f t="shared" si="33"/>
        <v/>
      </c>
      <c r="H72" s="8" t="str">
        <f t="shared" si="34"/>
        <v/>
      </c>
      <c r="I72" s="8" t="str">
        <f t="shared" si="35"/>
        <v/>
      </c>
      <c r="J72" s="8" t="str">
        <f t="shared" ref="J72:J106" si="42">IF(B72&lt;&gt;"",0,"")</f>
        <v/>
      </c>
      <c r="K72" s="8" t="str">
        <f t="shared" ref="K72:K106" si="43">IF(B72&lt;&gt;"",0,"")</f>
        <v/>
      </c>
      <c r="L72" s="8" t="str">
        <f t="shared" ref="L72:L106" si="44">IF(B72&lt;&gt;"",0,"")</f>
        <v/>
      </c>
      <c r="M72" s="8" t="str">
        <f t="shared" ref="M72:M106" si="45">IF(B72&lt;&gt;"",0,"")</f>
        <v/>
      </c>
      <c r="N72" s="11"/>
      <c r="O72" s="11" t="str">
        <f t="shared" si="36"/>
        <v/>
      </c>
      <c r="P72" s="20"/>
      <c r="Q72" s="6" t="str">
        <f>IF(B72&lt;&gt;"",IF(AND(I72&gt;0,U72&gt;0),(N72+K72-I72)*VLOOKUP(P72,Segédlet!$I$5:$J$12,2,0),(N72+K72)*VLOOKUP(P72,Segédlet!$I$5:$J$12,2,0)),"")</f>
        <v/>
      </c>
      <c r="R72" s="6" t="str">
        <f>IF(B72&lt;&gt;"",IF((L72+M72)&lt;=14,(L72+M72)*K72*VLOOKUP(C72,Segédlet!$C$5:$G$37,4,0),K72*14*VLOOKUP(C72,Segédlet!$C$5:$G$37,4,0)+((L72+M72)-14)*K72*VLOOKUP(C72,Segédlet!$C$5:$G$37,5,0)),"")</f>
        <v/>
      </c>
      <c r="S72" s="6" t="str">
        <f>IF(B72&lt;&gt;"",IF(G72&lt;=14,G72*N72*VLOOKUP(C72,Segédlet!$C$5:$G$37,2,0),N72*14*VLOOKUP(C72,Segédlet!$C$5:$G$37,2,0)+(G72-14)*N72*VLOOKUP(C72,Segédlet!$C$5:$G$37,3,0)),"")</f>
        <v/>
      </c>
      <c r="T72" s="12" t="str">
        <f t="shared" si="37"/>
        <v/>
      </c>
      <c r="U72" s="12" t="str">
        <f t="shared" si="38"/>
        <v/>
      </c>
      <c r="V72" s="12" t="str">
        <f t="shared" ref="V72:V106" si="46">IF(B72&lt;&gt;"",0,"")</f>
        <v/>
      </c>
      <c r="W72" s="12" t="str">
        <f t="shared" si="39"/>
        <v/>
      </c>
      <c r="X72" s="51" t="str">
        <f t="shared" si="40"/>
        <v/>
      </c>
      <c r="Y72" s="22" t="str">
        <f t="shared" si="41"/>
        <v/>
      </c>
      <c r="Z72" s="126" t="str">
        <f>IF(B72&lt;&gt;"",IF(B72=Segédlet!$L$6,"Jogosult igényelni","Nem jogosult igényelni"),"")</f>
        <v/>
      </c>
      <c r="AA72" s="11" t="str">
        <f t="shared" ref="AA72:AA105" si="47">IF(B72&lt;&gt;"",0,"")</f>
        <v/>
      </c>
      <c r="AB72" s="11" t="str">
        <f t="shared" ref="AB72:AB105" si="48">IF(B72&lt;&gt;"",0,"")</f>
        <v/>
      </c>
      <c r="AC72" s="11" t="str">
        <f t="shared" ref="AC72:AC106" si="49">IF(B72&lt;&gt;"",0,"")</f>
        <v/>
      </c>
      <c r="AD72" s="11" t="str">
        <f t="shared" ref="AD72:AD106" si="50">IF(B72&lt;&gt;"",0,"")</f>
        <v/>
      </c>
      <c r="AE72" s="11" t="str">
        <f t="shared" ref="AE72:AE106" si="51">IF(B72&lt;&gt;"",0,"")</f>
        <v/>
      </c>
      <c r="AF72" s="11" t="str">
        <f t="shared" ref="AF72:AF106" si="52">IF(B72&lt;&gt;"",0,"")</f>
        <v/>
      </c>
      <c r="AG72" s="6" t="str">
        <f>IF(B72&lt;&gt;"",Segédlet!N68+Segédlet!O68+Segédlet!R68+AF72+AE72,"")</f>
        <v/>
      </c>
    </row>
    <row r="73" spans="1:33" s="7" customFormat="1" x14ac:dyDescent="0.2">
      <c r="A73" s="9" t="str">
        <f t="shared" ref="A73:A106" si="53">IF(B73&lt;&gt;"",A72+1," ")</f>
        <v xml:space="preserve"> </v>
      </c>
      <c r="B73" s="10"/>
      <c r="C73" s="18"/>
      <c r="D73" s="21" t="str">
        <f>IF(C73&lt;&gt;"",INDEX(Segédlet!$B$5:$B$37,MATCH(C73,Segédlet!$C$5:$C$37,0)),"")</f>
        <v/>
      </c>
      <c r="E73" s="19"/>
      <c r="F73" s="8"/>
      <c r="G73" s="5" t="str">
        <f t="shared" si="33"/>
        <v/>
      </c>
      <c r="H73" s="8" t="str">
        <f t="shared" si="34"/>
        <v/>
      </c>
      <c r="I73" s="8" t="str">
        <f t="shared" si="35"/>
        <v/>
      </c>
      <c r="J73" s="8" t="str">
        <f t="shared" si="42"/>
        <v/>
      </c>
      <c r="K73" s="8" t="str">
        <f t="shared" si="43"/>
        <v/>
      </c>
      <c r="L73" s="8" t="str">
        <f t="shared" si="44"/>
        <v/>
      </c>
      <c r="M73" s="8" t="str">
        <f t="shared" si="45"/>
        <v/>
      </c>
      <c r="N73" s="11"/>
      <c r="O73" s="11" t="str">
        <f t="shared" si="36"/>
        <v/>
      </c>
      <c r="P73" s="20"/>
      <c r="Q73" s="6" t="str">
        <f>IF(B73&lt;&gt;"",IF(AND(I73&gt;0,U73&gt;0),(N73+K73-I73)*VLOOKUP(P73,Segédlet!$I$5:$J$12,2,0),(N73+K73)*VLOOKUP(P73,Segédlet!$I$5:$J$12,2,0)),"")</f>
        <v/>
      </c>
      <c r="R73" s="6" t="str">
        <f>IF(B73&lt;&gt;"",IF((L73+M73)&lt;=14,(L73+M73)*K73*VLOOKUP(C73,Segédlet!$C$5:$G$37,4,0),K73*14*VLOOKUP(C73,Segédlet!$C$5:$G$37,4,0)+((L73+M73)-14)*K73*VLOOKUP(C73,Segédlet!$C$5:$G$37,5,0)),"")</f>
        <v/>
      </c>
      <c r="S73" s="6" t="str">
        <f>IF(B73&lt;&gt;"",IF(G73&lt;=14,G73*N73*VLOOKUP(C73,Segédlet!$C$5:$G$37,2,0),N73*14*VLOOKUP(C73,Segédlet!$C$5:$G$37,2,0)+(G73-14)*N73*VLOOKUP(C73,Segédlet!$C$5:$G$37,3,0)),"")</f>
        <v/>
      </c>
      <c r="T73" s="12" t="str">
        <f t="shared" si="37"/>
        <v/>
      </c>
      <c r="U73" s="12" t="str">
        <f t="shared" si="38"/>
        <v/>
      </c>
      <c r="V73" s="12" t="str">
        <f t="shared" si="46"/>
        <v/>
      </c>
      <c r="W73" s="12" t="str">
        <f t="shared" si="39"/>
        <v/>
      </c>
      <c r="X73" s="51" t="str">
        <f t="shared" si="40"/>
        <v/>
      </c>
      <c r="Y73" s="22" t="str">
        <f t="shared" si="41"/>
        <v/>
      </c>
      <c r="Z73" s="126" t="str">
        <f>IF(B73&lt;&gt;"",IF(B73=Segédlet!$L$6,"Jogosult igényelni","Nem jogosult igényelni"),"")</f>
        <v/>
      </c>
      <c r="AA73" s="11" t="str">
        <f t="shared" si="47"/>
        <v/>
      </c>
      <c r="AB73" s="11" t="str">
        <f t="shared" si="48"/>
        <v/>
      </c>
      <c r="AC73" s="11" t="str">
        <f t="shared" si="49"/>
        <v/>
      </c>
      <c r="AD73" s="11" t="str">
        <f t="shared" si="50"/>
        <v/>
      </c>
      <c r="AE73" s="11" t="str">
        <f t="shared" si="51"/>
        <v/>
      </c>
      <c r="AF73" s="11" t="str">
        <f t="shared" si="52"/>
        <v/>
      </c>
      <c r="AG73" s="6" t="str">
        <f>IF(B73&lt;&gt;"",Segédlet!N69+Segédlet!O69+Segédlet!R69+AF73+AE73,"")</f>
        <v/>
      </c>
    </row>
    <row r="74" spans="1:33" s="7" customFormat="1" x14ac:dyDescent="0.2">
      <c r="A74" s="9" t="str">
        <f t="shared" si="53"/>
        <v xml:space="preserve"> </v>
      </c>
      <c r="B74" s="10"/>
      <c r="C74" s="18"/>
      <c r="D74" s="21" t="str">
        <f>IF(C74&lt;&gt;"",INDEX(Segédlet!$B$5:$B$37,MATCH(C74,Segédlet!$C$5:$C$37,0)),"")</f>
        <v/>
      </c>
      <c r="E74" s="19"/>
      <c r="F74" s="8"/>
      <c r="G74" s="5" t="str">
        <f t="shared" si="33"/>
        <v/>
      </c>
      <c r="H74" s="8" t="str">
        <f t="shared" si="34"/>
        <v/>
      </c>
      <c r="I74" s="8" t="str">
        <f t="shared" si="35"/>
        <v/>
      </c>
      <c r="J74" s="8" t="str">
        <f t="shared" si="42"/>
        <v/>
      </c>
      <c r="K74" s="8" t="str">
        <f t="shared" si="43"/>
        <v/>
      </c>
      <c r="L74" s="8" t="str">
        <f t="shared" si="44"/>
        <v/>
      </c>
      <c r="M74" s="8" t="str">
        <f t="shared" si="45"/>
        <v/>
      </c>
      <c r="N74" s="11"/>
      <c r="O74" s="11" t="str">
        <f t="shared" si="36"/>
        <v/>
      </c>
      <c r="P74" s="20"/>
      <c r="Q74" s="6" t="str">
        <f>IF(B74&lt;&gt;"",IF(AND(I74&gt;0,U74&gt;0),(N74+K74-I74)*VLOOKUP(P74,Segédlet!$I$5:$J$12,2,0),(N74+K74)*VLOOKUP(P74,Segédlet!$I$5:$J$12,2,0)),"")</f>
        <v/>
      </c>
      <c r="R74" s="6" t="str">
        <f>IF(B74&lt;&gt;"",IF((L74+M74)&lt;=14,(L74+M74)*K74*VLOOKUP(C74,Segédlet!$C$5:$G$37,4,0),K74*14*VLOOKUP(C74,Segédlet!$C$5:$G$37,4,0)+((L74+M74)-14)*K74*VLOOKUP(C74,Segédlet!$C$5:$G$37,5,0)),"")</f>
        <v/>
      </c>
      <c r="S74" s="6" t="str">
        <f>IF(B74&lt;&gt;"",IF(G74&lt;=14,G74*N74*VLOOKUP(C74,Segédlet!$C$5:$G$37,2,0),N74*14*VLOOKUP(C74,Segédlet!$C$5:$G$37,2,0)+(G74-14)*N74*VLOOKUP(C74,Segédlet!$C$5:$G$37,3,0)),"")</f>
        <v/>
      </c>
      <c r="T74" s="12" t="str">
        <f t="shared" si="37"/>
        <v/>
      </c>
      <c r="U74" s="12" t="str">
        <f t="shared" si="38"/>
        <v/>
      </c>
      <c r="V74" s="12" t="str">
        <f t="shared" si="46"/>
        <v/>
      </c>
      <c r="W74" s="12" t="str">
        <f t="shared" si="39"/>
        <v/>
      </c>
      <c r="X74" s="51" t="str">
        <f t="shared" si="40"/>
        <v/>
      </c>
      <c r="Y74" s="22" t="str">
        <f t="shared" si="41"/>
        <v/>
      </c>
      <c r="Z74" s="126" t="str">
        <f>IF(B74&lt;&gt;"",IF(B74=Segédlet!$L$6,"Jogosult igényelni","Nem jogosult igényelni"),"")</f>
        <v/>
      </c>
      <c r="AA74" s="11" t="str">
        <f t="shared" si="47"/>
        <v/>
      </c>
      <c r="AB74" s="11" t="str">
        <f t="shared" si="48"/>
        <v/>
      </c>
      <c r="AC74" s="11" t="str">
        <f t="shared" si="49"/>
        <v/>
      </c>
      <c r="AD74" s="11" t="str">
        <f t="shared" si="50"/>
        <v/>
      </c>
      <c r="AE74" s="11" t="str">
        <f t="shared" si="51"/>
        <v/>
      </c>
      <c r="AF74" s="11" t="str">
        <f t="shared" si="52"/>
        <v/>
      </c>
      <c r="AG74" s="6" t="str">
        <f>IF(B74&lt;&gt;"",Segédlet!N70+Segédlet!O70+Segédlet!R70+AF74+AE74,"")</f>
        <v/>
      </c>
    </row>
    <row r="75" spans="1:33" s="7" customFormat="1" x14ac:dyDescent="0.2">
      <c r="A75" s="9" t="str">
        <f t="shared" si="53"/>
        <v xml:space="preserve"> </v>
      </c>
      <c r="B75" s="10"/>
      <c r="C75" s="18"/>
      <c r="D75" s="21" t="str">
        <f>IF(C75&lt;&gt;"",INDEX(Segédlet!$B$5:$B$37,MATCH(C75,Segédlet!$C$5:$C$37,0)),"")</f>
        <v/>
      </c>
      <c r="E75" s="19"/>
      <c r="F75" s="8"/>
      <c r="G75" s="5" t="str">
        <f t="shared" si="33"/>
        <v/>
      </c>
      <c r="H75" s="8" t="str">
        <f t="shared" si="34"/>
        <v/>
      </c>
      <c r="I75" s="8" t="str">
        <f t="shared" si="35"/>
        <v/>
      </c>
      <c r="J75" s="8" t="str">
        <f t="shared" si="42"/>
        <v/>
      </c>
      <c r="K75" s="8" t="str">
        <f t="shared" si="43"/>
        <v/>
      </c>
      <c r="L75" s="8" t="str">
        <f t="shared" si="44"/>
        <v/>
      </c>
      <c r="M75" s="8" t="str">
        <f t="shared" si="45"/>
        <v/>
      </c>
      <c r="N75" s="11"/>
      <c r="O75" s="11" t="str">
        <f t="shared" si="36"/>
        <v/>
      </c>
      <c r="P75" s="20"/>
      <c r="Q75" s="6" t="str">
        <f>IF(B75&lt;&gt;"",IF(AND(I75&gt;0,U75&gt;0),(N75+K75-I75)*VLOOKUP(P75,Segédlet!$I$5:$J$12,2,0),(N75+K75)*VLOOKUP(P75,Segédlet!$I$5:$J$12,2,0)),"")</f>
        <v/>
      </c>
      <c r="R75" s="6" t="str">
        <f>IF(B75&lt;&gt;"",IF((L75+M75)&lt;=14,(L75+M75)*K75*VLOOKUP(C75,Segédlet!$C$5:$G$37,4,0),K75*14*VLOOKUP(C75,Segédlet!$C$5:$G$37,4,0)+((L75+M75)-14)*K75*VLOOKUP(C75,Segédlet!$C$5:$G$37,5,0)),"")</f>
        <v/>
      </c>
      <c r="S75" s="6" t="str">
        <f>IF(B75&lt;&gt;"",IF(G75&lt;=14,G75*N75*VLOOKUP(C75,Segédlet!$C$5:$G$37,2,0),N75*14*VLOOKUP(C75,Segédlet!$C$5:$G$37,2,0)+(G75-14)*N75*VLOOKUP(C75,Segédlet!$C$5:$G$37,3,0)),"")</f>
        <v/>
      </c>
      <c r="T75" s="12" t="str">
        <f t="shared" si="37"/>
        <v/>
      </c>
      <c r="U75" s="12" t="str">
        <f t="shared" si="38"/>
        <v/>
      </c>
      <c r="V75" s="12" t="str">
        <f t="shared" si="46"/>
        <v/>
      </c>
      <c r="W75" s="12" t="str">
        <f t="shared" si="39"/>
        <v/>
      </c>
      <c r="X75" s="51" t="str">
        <f t="shared" si="40"/>
        <v/>
      </c>
      <c r="Y75" s="22" t="str">
        <f t="shared" si="41"/>
        <v/>
      </c>
      <c r="Z75" s="126" t="str">
        <f>IF(B75&lt;&gt;"",IF(B75=Segédlet!$L$6,"Jogosult igényelni","Nem jogosult igényelni"),"")</f>
        <v/>
      </c>
      <c r="AA75" s="11" t="str">
        <f t="shared" si="47"/>
        <v/>
      </c>
      <c r="AB75" s="11" t="str">
        <f t="shared" si="48"/>
        <v/>
      </c>
      <c r="AC75" s="11" t="str">
        <f t="shared" si="49"/>
        <v/>
      </c>
      <c r="AD75" s="11" t="str">
        <f t="shared" si="50"/>
        <v/>
      </c>
      <c r="AE75" s="11" t="str">
        <f t="shared" si="51"/>
        <v/>
      </c>
      <c r="AF75" s="11" t="str">
        <f t="shared" si="52"/>
        <v/>
      </c>
      <c r="AG75" s="6" t="str">
        <f>IF(B75&lt;&gt;"",Segédlet!N71+Segédlet!O71+Segédlet!R71+AF75+AE75,"")</f>
        <v/>
      </c>
    </row>
    <row r="76" spans="1:33" s="7" customFormat="1" x14ac:dyDescent="0.2">
      <c r="A76" s="9" t="str">
        <f t="shared" si="53"/>
        <v xml:space="preserve"> </v>
      </c>
      <c r="B76" s="10"/>
      <c r="C76" s="18"/>
      <c r="D76" s="21" t="str">
        <f>IF(C76&lt;&gt;"",INDEX(Segédlet!$B$5:$B$37,MATCH(C76,Segédlet!$C$5:$C$37,0)),"")</f>
        <v/>
      </c>
      <c r="E76" s="19"/>
      <c r="F76" s="8"/>
      <c r="G76" s="5" t="str">
        <f t="shared" si="33"/>
        <v/>
      </c>
      <c r="H76" s="8" t="str">
        <f t="shared" si="34"/>
        <v/>
      </c>
      <c r="I76" s="8" t="str">
        <f t="shared" si="35"/>
        <v/>
      </c>
      <c r="J76" s="8" t="str">
        <f t="shared" si="42"/>
        <v/>
      </c>
      <c r="K76" s="8" t="str">
        <f t="shared" si="43"/>
        <v/>
      </c>
      <c r="L76" s="8" t="str">
        <f t="shared" si="44"/>
        <v/>
      </c>
      <c r="M76" s="8" t="str">
        <f t="shared" si="45"/>
        <v/>
      </c>
      <c r="N76" s="11"/>
      <c r="O76" s="11" t="str">
        <f t="shared" si="36"/>
        <v/>
      </c>
      <c r="P76" s="20"/>
      <c r="Q76" s="6" t="str">
        <f>IF(B76&lt;&gt;"",IF(AND(I76&gt;0,U76&gt;0),(N76+K76-I76)*VLOOKUP(P76,Segédlet!$I$5:$J$12,2,0),(N76+K76)*VLOOKUP(P76,Segédlet!$I$5:$J$12,2,0)),"")</f>
        <v/>
      </c>
      <c r="R76" s="6" t="str">
        <f>IF(B76&lt;&gt;"",IF((L76+M76)&lt;=14,(L76+M76)*K76*VLOOKUP(C76,Segédlet!$C$5:$G$37,4,0),K76*14*VLOOKUP(C76,Segédlet!$C$5:$G$37,4,0)+((L76+M76)-14)*K76*VLOOKUP(C76,Segédlet!$C$5:$G$37,5,0)),"")</f>
        <v/>
      </c>
      <c r="S76" s="6" t="str">
        <f>IF(B76&lt;&gt;"",IF(G76&lt;=14,G76*N76*VLOOKUP(C76,Segédlet!$C$5:$G$37,2,0),N76*14*VLOOKUP(C76,Segédlet!$C$5:$G$37,2,0)+(G76-14)*N76*VLOOKUP(C76,Segédlet!$C$5:$G$37,3,0)),"")</f>
        <v/>
      </c>
      <c r="T76" s="12" t="str">
        <f t="shared" si="37"/>
        <v/>
      </c>
      <c r="U76" s="12" t="str">
        <f t="shared" si="38"/>
        <v/>
      </c>
      <c r="V76" s="12" t="str">
        <f t="shared" si="46"/>
        <v/>
      </c>
      <c r="W76" s="12" t="str">
        <f t="shared" si="39"/>
        <v/>
      </c>
      <c r="X76" s="51" t="str">
        <f t="shared" si="40"/>
        <v/>
      </c>
      <c r="Y76" s="22" t="str">
        <f t="shared" si="41"/>
        <v/>
      </c>
      <c r="Z76" s="126" t="str">
        <f>IF(B76&lt;&gt;"",IF(B76=Segédlet!$L$6,"Jogosult igényelni","Nem jogosult igényelni"),"")</f>
        <v/>
      </c>
      <c r="AA76" s="11" t="str">
        <f t="shared" si="47"/>
        <v/>
      </c>
      <c r="AB76" s="11" t="str">
        <f t="shared" si="48"/>
        <v/>
      </c>
      <c r="AC76" s="11" t="str">
        <f t="shared" si="49"/>
        <v/>
      </c>
      <c r="AD76" s="11" t="str">
        <f t="shared" si="50"/>
        <v/>
      </c>
      <c r="AE76" s="11" t="str">
        <f t="shared" si="51"/>
        <v/>
      </c>
      <c r="AF76" s="11" t="str">
        <f t="shared" si="52"/>
        <v/>
      </c>
      <c r="AG76" s="6" t="str">
        <f>IF(B76&lt;&gt;"",Segédlet!N72+Segédlet!O72+Segédlet!R72+AF76+AE76,"")</f>
        <v/>
      </c>
    </row>
    <row r="77" spans="1:33" s="7" customFormat="1" x14ac:dyDescent="0.2">
      <c r="A77" s="9" t="str">
        <f t="shared" si="53"/>
        <v xml:space="preserve"> </v>
      </c>
      <c r="B77" s="10"/>
      <c r="C77" s="18"/>
      <c r="D77" s="21" t="str">
        <f>IF(C77&lt;&gt;"",INDEX(Segédlet!$B$5:$B$37,MATCH(C77,Segédlet!$C$5:$C$37,0)),"")</f>
        <v/>
      </c>
      <c r="E77" s="19"/>
      <c r="F77" s="8"/>
      <c r="G77" s="5" t="str">
        <f t="shared" si="33"/>
        <v/>
      </c>
      <c r="H77" s="8" t="str">
        <f t="shared" si="34"/>
        <v/>
      </c>
      <c r="I77" s="8" t="str">
        <f t="shared" si="35"/>
        <v/>
      </c>
      <c r="J77" s="8" t="str">
        <f t="shared" si="42"/>
        <v/>
      </c>
      <c r="K77" s="8" t="str">
        <f t="shared" si="43"/>
        <v/>
      </c>
      <c r="L77" s="8" t="str">
        <f t="shared" si="44"/>
        <v/>
      </c>
      <c r="M77" s="8" t="str">
        <f t="shared" si="45"/>
        <v/>
      </c>
      <c r="N77" s="11"/>
      <c r="O77" s="11" t="str">
        <f t="shared" si="36"/>
        <v/>
      </c>
      <c r="P77" s="20"/>
      <c r="Q77" s="6" t="str">
        <f>IF(B77&lt;&gt;"",IF(AND(I77&gt;0,U77&gt;0),(N77+K77-I77)*VLOOKUP(P77,Segédlet!$I$5:$J$12,2,0),(N77+K77)*VLOOKUP(P77,Segédlet!$I$5:$J$12,2,0)),"")</f>
        <v/>
      </c>
      <c r="R77" s="6" t="str">
        <f>IF(B77&lt;&gt;"",IF((L77+M77)&lt;=14,(L77+M77)*K77*VLOOKUP(C77,Segédlet!$C$5:$G$37,4,0),K77*14*VLOOKUP(C77,Segédlet!$C$5:$G$37,4,0)+((L77+M77)-14)*K77*VLOOKUP(C77,Segédlet!$C$5:$G$37,5,0)),"")</f>
        <v/>
      </c>
      <c r="S77" s="6" t="str">
        <f>IF(B77&lt;&gt;"",IF(G77&lt;=14,G77*N77*VLOOKUP(C77,Segédlet!$C$5:$G$37,2,0),N77*14*VLOOKUP(C77,Segédlet!$C$5:$G$37,2,0)+(G77-14)*N77*VLOOKUP(C77,Segédlet!$C$5:$G$37,3,0)),"")</f>
        <v/>
      </c>
      <c r="T77" s="12" t="str">
        <f t="shared" si="37"/>
        <v/>
      </c>
      <c r="U77" s="12" t="str">
        <f t="shared" si="38"/>
        <v/>
      </c>
      <c r="V77" s="12" t="str">
        <f t="shared" si="46"/>
        <v/>
      </c>
      <c r="W77" s="12" t="str">
        <f t="shared" si="39"/>
        <v/>
      </c>
      <c r="X77" s="51" t="str">
        <f t="shared" si="40"/>
        <v/>
      </c>
      <c r="Y77" s="22" t="str">
        <f t="shared" si="41"/>
        <v/>
      </c>
      <c r="Z77" s="126" t="str">
        <f>IF(B77&lt;&gt;"",IF(B77=Segédlet!$L$6,"Jogosult igényelni","Nem jogosult igényelni"),"")</f>
        <v/>
      </c>
      <c r="AA77" s="11" t="str">
        <f t="shared" si="47"/>
        <v/>
      </c>
      <c r="AB77" s="11" t="str">
        <f t="shared" si="48"/>
        <v/>
      </c>
      <c r="AC77" s="11" t="str">
        <f t="shared" si="49"/>
        <v/>
      </c>
      <c r="AD77" s="11" t="str">
        <f t="shared" si="50"/>
        <v/>
      </c>
      <c r="AE77" s="11" t="str">
        <f t="shared" si="51"/>
        <v/>
      </c>
      <c r="AF77" s="11" t="str">
        <f t="shared" si="52"/>
        <v/>
      </c>
      <c r="AG77" s="6" t="str">
        <f>IF(B77&lt;&gt;"",Segédlet!N73+Segédlet!O73+Segédlet!R73+AF77+AE77,"")</f>
        <v/>
      </c>
    </row>
    <row r="78" spans="1:33" s="7" customFormat="1" x14ac:dyDescent="0.2">
      <c r="A78" s="9" t="str">
        <f t="shared" si="53"/>
        <v xml:space="preserve"> </v>
      </c>
      <c r="B78" s="10"/>
      <c r="C78" s="18"/>
      <c r="D78" s="21" t="str">
        <f>IF(C78&lt;&gt;"",INDEX(Segédlet!$B$5:$B$37,MATCH(C78,Segédlet!$C$5:$C$37,0)),"")</f>
        <v/>
      </c>
      <c r="E78" s="19"/>
      <c r="F78" s="8"/>
      <c r="G78" s="5" t="str">
        <f t="shared" si="33"/>
        <v/>
      </c>
      <c r="H78" s="8" t="str">
        <f t="shared" si="34"/>
        <v/>
      </c>
      <c r="I78" s="8" t="str">
        <f t="shared" si="35"/>
        <v/>
      </c>
      <c r="J78" s="8" t="str">
        <f t="shared" si="42"/>
        <v/>
      </c>
      <c r="K78" s="8" t="str">
        <f t="shared" si="43"/>
        <v/>
      </c>
      <c r="L78" s="8" t="str">
        <f t="shared" si="44"/>
        <v/>
      </c>
      <c r="M78" s="8" t="str">
        <f t="shared" si="45"/>
        <v/>
      </c>
      <c r="N78" s="11"/>
      <c r="O78" s="11" t="str">
        <f t="shared" si="36"/>
        <v/>
      </c>
      <c r="P78" s="20"/>
      <c r="Q78" s="6" t="str">
        <f>IF(B78&lt;&gt;"",IF(AND(I78&gt;0,U78&gt;0),(N78+K78-I78)*VLOOKUP(P78,Segédlet!$I$5:$J$12,2,0),(N78+K78)*VLOOKUP(P78,Segédlet!$I$5:$J$12,2,0)),"")</f>
        <v/>
      </c>
      <c r="R78" s="6" t="str">
        <f>IF(B78&lt;&gt;"",IF((L78+M78)&lt;=14,(L78+M78)*K78*VLOOKUP(C78,Segédlet!$C$5:$G$37,4,0),K78*14*VLOOKUP(C78,Segédlet!$C$5:$G$37,4,0)+((L78+M78)-14)*K78*VLOOKUP(C78,Segédlet!$C$5:$G$37,5,0)),"")</f>
        <v/>
      </c>
      <c r="S78" s="6" t="str">
        <f>IF(B78&lt;&gt;"",IF(G78&lt;=14,G78*N78*VLOOKUP(C78,Segédlet!$C$5:$G$37,2,0),N78*14*VLOOKUP(C78,Segédlet!$C$5:$G$37,2,0)+(G78-14)*N78*VLOOKUP(C78,Segédlet!$C$5:$G$37,3,0)),"")</f>
        <v/>
      </c>
      <c r="T78" s="12" t="str">
        <f t="shared" si="37"/>
        <v/>
      </c>
      <c r="U78" s="12" t="str">
        <f t="shared" si="38"/>
        <v/>
      </c>
      <c r="V78" s="12" t="str">
        <f t="shared" si="46"/>
        <v/>
      </c>
      <c r="W78" s="12" t="str">
        <f t="shared" si="39"/>
        <v/>
      </c>
      <c r="X78" s="51" t="str">
        <f t="shared" si="40"/>
        <v/>
      </c>
      <c r="Y78" s="22" t="str">
        <f t="shared" si="41"/>
        <v/>
      </c>
      <c r="Z78" s="126" t="str">
        <f>IF(B78&lt;&gt;"",IF(B78=Segédlet!$L$6,"Jogosult igényelni","Nem jogosult igényelni"),"")</f>
        <v/>
      </c>
      <c r="AA78" s="11" t="str">
        <f t="shared" si="47"/>
        <v/>
      </c>
      <c r="AB78" s="11" t="str">
        <f t="shared" si="48"/>
        <v/>
      </c>
      <c r="AC78" s="11" t="str">
        <f t="shared" si="49"/>
        <v/>
      </c>
      <c r="AD78" s="11" t="str">
        <f t="shared" si="50"/>
        <v/>
      </c>
      <c r="AE78" s="11" t="str">
        <f t="shared" si="51"/>
        <v/>
      </c>
      <c r="AF78" s="11" t="str">
        <f t="shared" si="52"/>
        <v/>
      </c>
      <c r="AG78" s="6" t="str">
        <f>IF(B78&lt;&gt;"",Segédlet!N74+Segédlet!O74+Segédlet!R74+AF78+AE78,"")</f>
        <v/>
      </c>
    </row>
    <row r="79" spans="1:33" s="7" customFormat="1" x14ac:dyDescent="0.2">
      <c r="A79" s="9" t="str">
        <f t="shared" si="53"/>
        <v xml:space="preserve"> </v>
      </c>
      <c r="B79" s="10"/>
      <c r="C79" s="18"/>
      <c r="D79" s="21" t="str">
        <f>IF(C79&lt;&gt;"",INDEX(Segédlet!$B$5:$B$37,MATCH(C79,Segédlet!$C$5:$C$37,0)),"")</f>
        <v/>
      </c>
      <c r="E79" s="19"/>
      <c r="F79" s="8"/>
      <c r="G79" s="5" t="str">
        <f t="shared" si="33"/>
        <v/>
      </c>
      <c r="H79" s="8" t="str">
        <f t="shared" si="34"/>
        <v/>
      </c>
      <c r="I79" s="8" t="str">
        <f t="shared" si="35"/>
        <v/>
      </c>
      <c r="J79" s="8" t="str">
        <f t="shared" si="42"/>
        <v/>
      </c>
      <c r="K79" s="8" t="str">
        <f t="shared" si="43"/>
        <v/>
      </c>
      <c r="L79" s="8" t="str">
        <f t="shared" si="44"/>
        <v/>
      </c>
      <c r="M79" s="8" t="str">
        <f t="shared" si="45"/>
        <v/>
      </c>
      <c r="N79" s="11"/>
      <c r="O79" s="11" t="str">
        <f t="shared" si="36"/>
        <v/>
      </c>
      <c r="P79" s="20"/>
      <c r="Q79" s="6" t="str">
        <f>IF(B79&lt;&gt;"",IF(AND(I79&gt;0,U79&gt;0),(N79+K79-I79)*VLOOKUP(P79,Segédlet!$I$5:$J$12,2,0),(N79+K79)*VLOOKUP(P79,Segédlet!$I$5:$J$12,2,0)),"")</f>
        <v/>
      </c>
      <c r="R79" s="6" t="str">
        <f>IF(B79&lt;&gt;"",IF((L79+M79)&lt;=14,(L79+M79)*K79*VLOOKUP(C79,Segédlet!$C$5:$G$37,4,0),K79*14*VLOOKUP(C79,Segédlet!$C$5:$G$37,4,0)+((L79+M79)-14)*K79*VLOOKUP(C79,Segédlet!$C$5:$G$37,5,0)),"")</f>
        <v/>
      </c>
      <c r="S79" s="6" t="str">
        <f>IF(B79&lt;&gt;"",IF(G79&lt;=14,G79*N79*VLOOKUP(C79,Segédlet!$C$5:$G$37,2,0),N79*14*VLOOKUP(C79,Segédlet!$C$5:$G$37,2,0)+(G79-14)*N79*VLOOKUP(C79,Segédlet!$C$5:$G$37,3,0)),"")</f>
        <v/>
      </c>
      <c r="T79" s="12" t="str">
        <f t="shared" si="37"/>
        <v/>
      </c>
      <c r="U79" s="12" t="str">
        <f t="shared" si="38"/>
        <v/>
      </c>
      <c r="V79" s="12" t="str">
        <f t="shared" si="46"/>
        <v/>
      </c>
      <c r="W79" s="12" t="str">
        <f t="shared" si="39"/>
        <v/>
      </c>
      <c r="X79" s="51" t="str">
        <f t="shared" si="40"/>
        <v/>
      </c>
      <c r="Y79" s="22" t="str">
        <f t="shared" si="41"/>
        <v/>
      </c>
      <c r="Z79" s="126" t="str">
        <f>IF(B79&lt;&gt;"",IF(B79=Segédlet!$L$6,"Jogosult igényelni","Nem jogosult igényelni"),"")</f>
        <v/>
      </c>
      <c r="AA79" s="11" t="str">
        <f t="shared" si="47"/>
        <v/>
      </c>
      <c r="AB79" s="11" t="str">
        <f t="shared" si="48"/>
        <v/>
      </c>
      <c r="AC79" s="11" t="str">
        <f t="shared" si="49"/>
        <v/>
      </c>
      <c r="AD79" s="11" t="str">
        <f t="shared" si="50"/>
        <v/>
      </c>
      <c r="AE79" s="11" t="str">
        <f t="shared" si="51"/>
        <v/>
      </c>
      <c r="AF79" s="11" t="str">
        <f t="shared" si="52"/>
        <v/>
      </c>
      <c r="AG79" s="6" t="str">
        <f>IF(B79&lt;&gt;"",Segédlet!N75+Segédlet!O75+Segédlet!R75+AF79+AE79,"")</f>
        <v/>
      </c>
    </row>
    <row r="80" spans="1:33" s="7" customFormat="1" x14ac:dyDescent="0.2">
      <c r="A80" s="9" t="str">
        <f t="shared" si="53"/>
        <v xml:space="preserve"> </v>
      </c>
      <c r="B80" s="10"/>
      <c r="C80" s="18"/>
      <c r="D80" s="21" t="str">
        <f>IF(C80&lt;&gt;"",INDEX(Segédlet!$B$5:$B$37,MATCH(C80,Segédlet!$C$5:$C$37,0)),"")</f>
        <v/>
      </c>
      <c r="E80" s="19"/>
      <c r="F80" s="8"/>
      <c r="G80" s="5" t="str">
        <f t="shared" si="33"/>
        <v/>
      </c>
      <c r="H80" s="8" t="str">
        <f t="shared" si="34"/>
        <v/>
      </c>
      <c r="I80" s="8" t="str">
        <f t="shared" si="35"/>
        <v/>
      </c>
      <c r="J80" s="8" t="str">
        <f t="shared" si="42"/>
        <v/>
      </c>
      <c r="K80" s="8" t="str">
        <f t="shared" si="43"/>
        <v/>
      </c>
      <c r="L80" s="8" t="str">
        <f t="shared" si="44"/>
        <v/>
      </c>
      <c r="M80" s="8" t="str">
        <f t="shared" si="45"/>
        <v/>
      </c>
      <c r="N80" s="11"/>
      <c r="O80" s="11" t="str">
        <f t="shared" si="36"/>
        <v/>
      </c>
      <c r="P80" s="20"/>
      <c r="Q80" s="6" t="str">
        <f>IF(B80&lt;&gt;"",IF(AND(I80&gt;0,U80&gt;0),(N80+K80-I80)*VLOOKUP(P80,Segédlet!$I$5:$J$12,2,0),(N80+K80)*VLOOKUP(P80,Segédlet!$I$5:$J$12,2,0)),"")</f>
        <v/>
      </c>
      <c r="R80" s="6" t="str">
        <f>IF(B80&lt;&gt;"",IF((L80+M80)&lt;=14,(L80+M80)*K80*VLOOKUP(C80,Segédlet!$C$5:$G$37,4,0),K80*14*VLOOKUP(C80,Segédlet!$C$5:$G$37,4,0)+((L80+M80)-14)*K80*VLOOKUP(C80,Segédlet!$C$5:$G$37,5,0)),"")</f>
        <v/>
      </c>
      <c r="S80" s="6" t="str">
        <f>IF(B80&lt;&gt;"",IF(G80&lt;=14,G80*N80*VLOOKUP(C80,Segédlet!$C$5:$G$37,2,0),N80*14*VLOOKUP(C80,Segédlet!$C$5:$G$37,2,0)+(G80-14)*N80*VLOOKUP(C80,Segédlet!$C$5:$G$37,3,0)),"")</f>
        <v/>
      </c>
      <c r="T80" s="12" t="str">
        <f t="shared" si="37"/>
        <v/>
      </c>
      <c r="U80" s="12" t="str">
        <f t="shared" si="38"/>
        <v/>
      </c>
      <c r="V80" s="12" t="str">
        <f t="shared" si="46"/>
        <v/>
      </c>
      <c r="W80" s="12" t="str">
        <f t="shared" si="39"/>
        <v/>
      </c>
      <c r="X80" s="51" t="str">
        <f t="shared" si="40"/>
        <v/>
      </c>
      <c r="Y80" s="22" t="str">
        <f t="shared" si="41"/>
        <v/>
      </c>
      <c r="Z80" s="126" t="str">
        <f>IF(B80&lt;&gt;"",IF(B80=Segédlet!$L$6,"Jogosult igényelni","Nem jogosult igényelni"),"")</f>
        <v/>
      </c>
      <c r="AA80" s="11" t="str">
        <f t="shared" si="47"/>
        <v/>
      </c>
      <c r="AB80" s="11" t="str">
        <f t="shared" si="48"/>
        <v/>
      </c>
      <c r="AC80" s="11" t="str">
        <f t="shared" si="49"/>
        <v/>
      </c>
      <c r="AD80" s="11" t="str">
        <f t="shared" si="50"/>
        <v/>
      </c>
      <c r="AE80" s="11" t="str">
        <f t="shared" si="51"/>
        <v/>
      </c>
      <c r="AF80" s="11" t="str">
        <f t="shared" si="52"/>
        <v/>
      </c>
      <c r="AG80" s="6" t="str">
        <f>IF(B80&lt;&gt;"",Segédlet!N76+Segédlet!O76+Segédlet!R76+AF80+AE80,"")</f>
        <v/>
      </c>
    </row>
    <row r="81" spans="1:33" s="7" customFormat="1" x14ac:dyDescent="0.2">
      <c r="A81" s="9" t="str">
        <f t="shared" si="53"/>
        <v xml:space="preserve"> </v>
      </c>
      <c r="B81" s="10"/>
      <c r="C81" s="18"/>
      <c r="D81" s="21" t="str">
        <f>IF(C81&lt;&gt;"",INDEX(Segédlet!$B$5:$B$37,MATCH(C81,Segédlet!$C$5:$C$37,0)),"")</f>
        <v/>
      </c>
      <c r="E81" s="19"/>
      <c r="F81" s="8"/>
      <c r="G81" s="5" t="str">
        <f t="shared" si="33"/>
        <v/>
      </c>
      <c r="H81" s="8" t="str">
        <f t="shared" si="34"/>
        <v/>
      </c>
      <c r="I81" s="8" t="str">
        <f t="shared" si="35"/>
        <v/>
      </c>
      <c r="J81" s="8" t="str">
        <f t="shared" si="42"/>
        <v/>
      </c>
      <c r="K81" s="8" t="str">
        <f t="shared" si="43"/>
        <v/>
      </c>
      <c r="L81" s="8" t="str">
        <f t="shared" si="44"/>
        <v/>
      </c>
      <c r="M81" s="8" t="str">
        <f t="shared" si="45"/>
        <v/>
      </c>
      <c r="N81" s="11"/>
      <c r="O81" s="11" t="str">
        <f t="shared" si="36"/>
        <v/>
      </c>
      <c r="P81" s="20"/>
      <c r="Q81" s="6" t="str">
        <f>IF(B81&lt;&gt;"",IF(AND(I81&gt;0,U81&gt;0),(N81+K81-I81)*VLOOKUP(P81,Segédlet!$I$5:$J$12,2,0),(N81+K81)*VLOOKUP(P81,Segédlet!$I$5:$J$12,2,0)),"")</f>
        <v/>
      </c>
      <c r="R81" s="6" t="str">
        <f>IF(B81&lt;&gt;"",IF((L81+M81)&lt;=14,(L81+M81)*K81*VLOOKUP(C81,Segédlet!$C$5:$G$37,4,0),K81*14*VLOOKUP(C81,Segédlet!$C$5:$G$37,4,0)+((L81+M81)-14)*K81*VLOOKUP(C81,Segédlet!$C$5:$G$37,5,0)),"")</f>
        <v/>
      </c>
      <c r="S81" s="6" t="str">
        <f>IF(B81&lt;&gt;"",IF(G81&lt;=14,G81*N81*VLOOKUP(C81,Segédlet!$C$5:$G$37,2,0),N81*14*VLOOKUP(C81,Segédlet!$C$5:$G$37,2,0)+(G81-14)*N81*VLOOKUP(C81,Segédlet!$C$5:$G$37,3,0)),"")</f>
        <v/>
      </c>
      <c r="T81" s="12" t="str">
        <f t="shared" si="37"/>
        <v/>
      </c>
      <c r="U81" s="12" t="str">
        <f t="shared" si="38"/>
        <v/>
      </c>
      <c r="V81" s="12" t="str">
        <f t="shared" si="46"/>
        <v/>
      </c>
      <c r="W81" s="12" t="str">
        <f t="shared" si="39"/>
        <v/>
      </c>
      <c r="X81" s="51" t="str">
        <f t="shared" si="40"/>
        <v/>
      </c>
      <c r="Y81" s="22" t="str">
        <f t="shared" si="41"/>
        <v/>
      </c>
      <c r="Z81" s="126" t="str">
        <f>IF(B81&lt;&gt;"",IF(B81=Segédlet!$L$6,"Jogosult igényelni","Nem jogosult igényelni"),"")</f>
        <v/>
      </c>
      <c r="AA81" s="11" t="str">
        <f t="shared" si="47"/>
        <v/>
      </c>
      <c r="AB81" s="11" t="str">
        <f t="shared" si="48"/>
        <v/>
      </c>
      <c r="AC81" s="11" t="str">
        <f t="shared" si="49"/>
        <v/>
      </c>
      <c r="AD81" s="11" t="str">
        <f t="shared" si="50"/>
        <v/>
      </c>
      <c r="AE81" s="11" t="str">
        <f t="shared" si="51"/>
        <v/>
      </c>
      <c r="AF81" s="11" t="str">
        <f t="shared" si="52"/>
        <v/>
      </c>
      <c r="AG81" s="6" t="str">
        <f>IF(B81&lt;&gt;"",Segédlet!N77+Segédlet!O77+Segédlet!R77+AF81+AE81,"")</f>
        <v/>
      </c>
    </row>
    <row r="82" spans="1:33" s="7" customFormat="1" x14ac:dyDescent="0.2">
      <c r="A82" s="9" t="str">
        <f t="shared" si="53"/>
        <v xml:space="preserve"> </v>
      </c>
      <c r="B82" s="10"/>
      <c r="C82" s="18"/>
      <c r="D82" s="21" t="str">
        <f>IF(C82&lt;&gt;"",INDEX(Segédlet!$B$5:$B$37,MATCH(C82,Segédlet!$C$5:$C$37,0)),"")</f>
        <v/>
      </c>
      <c r="E82" s="19"/>
      <c r="F82" s="8"/>
      <c r="G82" s="5" t="str">
        <f t="shared" si="33"/>
        <v/>
      </c>
      <c r="H82" s="8" t="str">
        <f t="shared" si="34"/>
        <v/>
      </c>
      <c r="I82" s="8" t="str">
        <f t="shared" si="35"/>
        <v/>
      </c>
      <c r="J82" s="8" t="str">
        <f t="shared" si="42"/>
        <v/>
      </c>
      <c r="K82" s="8" t="str">
        <f t="shared" si="43"/>
        <v/>
      </c>
      <c r="L82" s="8" t="str">
        <f t="shared" si="44"/>
        <v/>
      </c>
      <c r="M82" s="8" t="str">
        <f t="shared" si="45"/>
        <v/>
      </c>
      <c r="N82" s="11"/>
      <c r="O82" s="11" t="str">
        <f t="shared" si="36"/>
        <v/>
      </c>
      <c r="P82" s="20"/>
      <c r="Q82" s="6" t="str">
        <f>IF(B82&lt;&gt;"",IF(AND(I82&gt;0,U82&gt;0),(N82+K82-I82)*VLOOKUP(P82,Segédlet!$I$5:$J$12,2,0),(N82+K82)*VLOOKUP(P82,Segédlet!$I$5:$J$12,2,0)),"")</f>
        <v/>
      </c>
      <c r="R82" s="6" t="str">
        <f>IF(B82&lt;&gt;"",IF((L82+M82)&lt;=14,(L82+M82)*K82*VLOOKUP(C82,Segédlet!$C$5:$G$37,4,0),K82*14*VLOOKUP(C82,Segédlet!$C$5:$G$37,4,0)+((L82+M82)-14)*K82*VLOOKUP(C82,Segédlet!$C$5:$G$37,5,0)),"")</f>
        <v/>
      </c>
      <c r="S82" s="6" t="str">
        <f>IF(B82&lt;&gt;"",IF(G82&lt;=14,G82*N82*VLOOKUP(C82,Segédlet!$C$5:$G$37,2,0),N82*14*VLOOKUP(C82,Segédlet!$C$5:$G$37,2,0)+(G82-14)*N82*VLOOKUP(C82,Segédlet!$C$5:$G$37,3,0)),"")</f>
        <v/>
      </c>
      <c r="T82" s="12" t="str">
        <f t="shared" si="37"/>
        <v/>
      </c>
      <c r="U82" s="12" t="str">
        <f t="shared" si="38"/>
        <v/>
      </c>
      <c r="V82" s="12" t="str">
        <f t="shared" si="46"/>
        <v/>
      </c>
      <c r="W82" s="12" t="str">
        <f t="shared" si="39"/>
        <v/>
      </c>
      <c r="X82" s="51" t="str">
        <f t="shared" si="40"/>
        <v/>
      </c>
      <c r="Y82" s="22" t="str">
        <f t="shared" si="41"/>
        <v/>
      </c>
      <c r="Z82" s="126" t="str">
        <f>IF(B82&lt;&gt;"",IF(B82=Segédlet!$L$6,"Jogosult igényelni","Nem jogosult igényelni"),"")</f>
        <v/>
      </c>
      <c r="AA82" s="11" t="str">
        <f t="shared" si="47"/>
        <v/>
      </c>
      <c r="AB82" s="11" t="str">
        <f t="shared" si="48"/>
        <v/>
      </c>
      <c r="AC82" s="11" t="str">
        <f t="shared" si="49"/>
        <v/>
      </c>
      <c r="AD82" s="11" t="str">
        <f t="shared" si="50"/>
        <v/>
      </c>
      <c r="AE82" s="11" t="str">
        <f t="shared" si="51"/>
        <v/>
      </c>
      <c r="AF82" s="11" t="str">
        <f t="shared" si="52"/>
        <v/>
      </c>
      <c r="AG82" s="6" t="str">
        <f>IF(B82&lt;&gt;"",Segédlet!N78+Segédlet!O78+Segédlet!R78+AF82+AE82,"")</f>
        <v/>
      </c>
    </row>
    <row r="83" spans="1:33" s="7" customFormat="1" x14ac:dyDescent="0.2">
      <c r="A83" s="9" t="str">
        <f t="shared" si="53"/>
        <v xml:space="preserve"> </v>
      </c>
      <c r="B83" s="10"/>
      <c r="C83" s="18"/>
      <c r="D83" s="21" t="str">
        <f>IF(C83&lt;&gt;"",INDEX(Segédlet!$B$5:$B$37,MATCH(C83,Segédlet!$C$5:$C$37,0)),"")</f>
        <v/>
      </c>
      <c r="E83" s="19"/>
      <c r="F83" s="8"/>
      <c r="G83" s="5" t="str">
        <f t="shared" si="33"/>
        <v/>
      </c>
      <c r="H83" s="8" t="str">
        <f t="shared" si="34"/>
        <v/>
      </c>
      <c r="I83" s="8" t="str">
        <f t="shared" si="35"/>
        <v/>
      </c>
      <c r="J83" s="8" t="str">
        <f t="shared" si="42"/>
        <v/>
      </c>
      <c r="K83" s="8" t="str">
        <f t="shared" si="43"/>
        <v/>
      </c>
      <c r="L83" s="8" t="str">
        <f t="shared" si="44"/>
        <v/>
      </c>
      <c r="M83" s="8" t="str">
        <f t="shared" si="45"/>
        <v/>
      </c>
      <c r="N83" s="11"/>
      <c r="O83" s="11" t="str">
        <f t="shared" si="36"/>
        <v/>
      </c>
      <c r="P83" s="20"/>
      <c r="Q83" s="6" t="str">
        <f>IF(B83&lt;&gt;"",IF(AND(I83&gt;0,U83&gt;0),(N83+K83-I83)*VLOOKUP(P83,Segédlet!$I$5:$J$12,2,0),(N83+K83)*VLOOKUP(P83,Segédlet!$I$5:$J$12,2,0)),"")</f>
        <v/>
      </c>
      <c r="R83" s="6" t="str">
        <f>IF(B83&lt;&gt;"",IF((L83+M83)&lt;=14,(L83+M83)*K83*VLOOKUP(C83,Segédlet!$C$5:$G$37,4,0),K83*14*VLOOKUP(C83,Segédlet!$C$5:$G$37,4,0)+((L83+M83)-14)*K83*VLOOKUP(C83,Segédlet!$C$5:$G$37,5,0)),"")</f>
        <v/>
      </c>
      <c r="S83" s="6" t="str">
        <f>IF(B83&lt;&gt;"",IF(G83&lt;=14,G83*N83*VLOOKUP(C83,Segédlet!$C$5:$G$37,2,0),N83*14*VLOOKUP(C83,Segédlet!$C$5:$G$37,2,0)+(G83-14)*N83*VLOOKUP(C83,Segédlet!$C$5:$G$37,3,0)),"")</f>
        <v/>
      </c>
      <c r="T83" s="12" t="str">
        <f t="shared" si="37"/>
        <v/>
      </c>
      <c r="U83" s="12" t="str">
        <f t="shared" si="38"/>
        <v/>
      </c>
      <c r="V83" s="12" t="str">
        <f t="shared" si="46"/>
        <v/>
      </c>
      <c r="W83" s="12" t="str">
        <f t="shared" si="39"/>
        <v/>
      </c>
      <c r="X83" s="51" t="str">
        <f t="shared" si="40"/>
        <v/>
      </c>
      <c r="Y83" s="22" t="str">
        <f t="shared" si="41"/>
        <v/>
      </c>
      <c r="Z83" s="126" t="str">
        <f>IF(B83&lt;&gt;"",IF(B83=Segédlet!$L$6,"Jogosult igényelni","Nem jogosult igényelni"),"")</f>
        <v/>
      </c>
      <c r="AA83" s="11" t="str">
        <f t="shared" si="47"/>
        <v/>
      </c>
      <c r="AB83" s="11" t="str">
        <f t="shared" si="48"/>
        <v/>
      </c>
      <c r="AC83" s="11" t="str">
        <f t="shared" si="49"/>
        <v/>
      </c>
      <c r="AD83" s="11" t="str">
        <f t="shared" si="50"/>
        <v/>
      </c>
      <c r="AE83" s="11" t="str">
        <f t="shared" si="51"/>
        <v/>
      </c>
      <c r="AF83" s="11" t="str">
        <f t="shared" si="52"/>
        <v/>
      </c>
      <c r="AG83" s="6" t="str">
        <f>IF(B83&lt;&gt;"",Segédlet!N79+Segédlet!O79+Segédlet!R79+AF83+AE83,"")</f>
        <v/>
      </c>
    </row>
    <row r="84" spans="1:33" s="7" customFormat="1" x14ac:dyDescent="0.2">
      <c r="A84" s="9" t="str">
        <f t="shared" si="53"/>
        <v xml:space="preserve"> </v>
      </c>
      <c r="B84" s="10"/>
      <c r="C84" s="18"/>
      <c r="D84" s="21" t="str">
        <f>IF(C84&lt;&gt;"",INDEX(Segédlet!$B$5:$B$37,MATCH(C84,Segédlet!$C$5:$C$37,0)),"")</f>
        <v/>
      </c>
      <c r="E84" s="19"/>
      <c r="F84" s="8"/>
      <c r="G84" s="5" t="str">
        <f t="shared" si="33"/>
        <v/>
      </c>
      <c r="H84" s="8" t="str">
        <f t="shared" si="34"/>
        <v/>
      </c>
      <c r="I84" s="8" t="str">
        <f t="shared" si="35"/>
        <v/>
      </c>
      <c r="J84" s="8" t="str">
        <f t="shared" si="42"/>
        <v/>
      </c>
      <c r="K84" s="8" t="str">
        <f t="shared" si="43"/>
        <v/>
      </c>
      <c r="L84" s="8" t="str">
        <f t="shared" si="44"/>
        <v/>
      </c>
      <c r="M84" s="8" t="str">
        <f t="shared" si="45"/>
        <v/>
      </c>
      <c r="N84" s="11"/>
      <c r="O84" s="11" t="str">
        <f t="shared" si="36"/>
        <v/>
      </c>
      <c r="P84" s="20"/>
      <c r="Q84" s="6" t="str">
        <f>IF(B84&lt;&gt;"",IF(AND(I84&gt;0,U84&gt;0),(N84+K84-I84)*VLOOKUP(P84,Segédlet!$I$5:$J$12,2,0),(N84+K84)*VLOOKUP(P84,Segédlet!$I$5:$J$12,2,0)),"")</f>
        <v/>
      </c>
      <c r="R84" s="6" t="str">
        <f>IF(B84&lt;&gt;"",IF((L84+M84)&lt;=14,(L84+M84)*K84*VLOOKUP(C84,Segédlet!$C$5:$G$37,4,0),K84*14*VLOOKUP(C84,Segédlet!$C$5:$G$37,4,0)+((L84+M84)-14)*K84*VLOOKUP(C84,Segédlet!$C$5:$G$37,5,0)),"")</f>
        <v/>
      </c>
      <c r="S84" s="6" t="str">
        <f>IF(B84&lt;&gt;"",IF(G84&lt;=14,G84*N84*VLOOKUP(C84,Segédlet!$C$5:$G$37,2,0),N84*14*VLOOKUP(C84,Segédlet!$C$5:$G$37,2,0)+(G84-14)*N84*VLOOKUP(C84,Segédlet!$C$5:$G$37,3,0)),"")</f>
        <v/>
      </c>
      <c r="T84" s="12" t="str">
        <f t="shared" si="37"/>
        <v/>
      </c>
      <c r="U84" s="12" t="str">
        <f t="shared" si="38"/>
        <v/>
      </c>
      <c r="V84" s="12" t="str">
        <f t="shared" si="46"/>
        <v/>
      </c>
      <c r="W84" s="12" t="str">
        <f t="shared" si="39"/>
        <v/>
      </c>
      <c r="X84" s="51" t="str">
        <f t="shared" si="40"/>
        <v/>
      </c>
      <c r="Y84" s="22" t="str">
        <f t="shared" si="41"/>
        <v/>
      </c>
      <c r="Z84" s="126" t="str">
        <f>IF(B84&lt;&gt;"",IF(B84=Segédlet!$L$6,"Jogosult igényelni","Nem jogosult igényelni"),"")</f>
        <v/>
      </c>
      <c r="AA84" s="11" t="str">
        <f t="shared" si="47"/>
        <v/>
      </c>
      <c r="AB84" s="11" t="str">
        <f t="shared" si="48"/>
        <v/>
      </c>
      <c r="AC84" s="11" t="str">
        <f t="shared" si="49"/>
        <v/>
      </c>
      <c r="AD84" s="11" t="str">
        <f t="shared" si="50"/>
        <v/>
      </c>
      <c r="AE84" s="11" t="str">
        <f t="shared" si="51"/>
        <v/>
      </c>
      <c r="AF84" s="11" t="str">
        <f t="shared" si="52"/>
        <v/>
      </c>
      <c r="AG84" s="6" t="str">
        <f>IF(B84&lt;&gt;"",Segédlet!N80+Segédlet!O80+Segédlet!R80+AF84+AE84,"")</f>
        <v/>
      </c>
    </row>
    <row r="85" spans="1:33" s="7" customFormat="1" x14ac:dyDescent="0.2">
      <c r="A85" s="9" t="str">
        <f t="shared" si="53"/>
        <v xml:space="preserve"> </v>
      </c>
      <c r="B85" s="10"/>
      <c r="C85" s="18"/>
      <c r="D85" s="21" t="str">
        <f>IF(C85&lt;&gt;"",INDEX(Segédlet!$B$5:$B$37,MATCH(C85,Segédlet!$C$5:$C$37,0)),"")</f>
        <v/>
      </c>
      <c r="E85" s="19"/>
      <c r="F85" s="8"/>
      <c r="G85" s="5" t="str">
        <f t="shared" si="33"/>
        <v/>
      </c>
      <c r="H85" s="8" t="str">
        <f t="shared" si="34"/>
        <v/>
      </c>
      <c r="I85" s="8" t="str">
        <f t="shared" si="35"/>
        <v/>
      </c>
      <c r="J85" s="8" t="str">
        <f t="shared" si="42"/>
        <v/>
      </c>
      <c r="K85" s="8" t="str">
        <f t="shared" si="43"/>
        <v/>
      </c>
      <c r="L85" s="8" t="str">
        <f t="shared" si="44"/>
        <v/>
      </c>
      <c r="M85" s="8" t="str">
        <f t="shared" si="45"/>
        <v/>
      </c>
      <c r="N85" s="11"/>
      <c r="O85" s="11" t="str">
        <f t="shared" si="36"/>
        <v/>
      </c>
      <c r="P85" s="20"/>
      <c r="Q85" s="6" t="str">
        <f>IF(B85&lt;&gt;"",IF(AND(I85&gt;0,U85&gt;0),(N85+K85-I85)*VLOOKUP(P85,Segédlet!$I$5:$J$12,2,0),(N85+K85)*VLOOKUP(P85,Segédlet!$I$5:$J$12,2,0)),"")</f>
        <v/>
      </c>
      <c r="R85" s="6" t="str">
        <f>IF(B85&lt;&gt;"",IF((L85+M85)&lt;=14,(L85+M85)*K85*VLOOKUP(C85,Segédlet!$C$5:$G$37,4,0),K85*14*VLOOKUP(C85,Segédlet!$C$5:$G$37,4,0)+((L85+M85)-14)*K85*VLOOKUP(C85,Segédlet!$C$5:$G$37,5,0)),"")</f>
        <v/>
      </c>
      <c r="S85" s="6" t="str">
        <f>IF(B85&lt;&gt;"",IF(G85&lt;=14,G85*N85*VLOOKUP(C85,Segédlet!$C$5:$G$37,2,0),N85*14*VLOOKUP(C85,Segédlet!$C$5:$G$37,2,0)+(G85-14)*N85*VLOOKUP(C85,Segédlet!$C$5:$G$37,3,0)),"")</f>
        <v/>
      </c>
      <c r="T85" s="12" t="str">
        <f t="shared" si="37"/>
        <v/>
      </c>
      <c r="U85" s="12" t="str">
        <f t="shared" si="38"/>
        <v/>
      </c>
      <c r="V85" s="12" t="str">
        <f t="shared" si="46"/>
        <v/>
      </c>
      <c r="W85" s="12" t="str">
        <f t="shared" si="39"/>
        <v/>
      </c>
      <c r="X85" s="51" t="str">
        <f t="shared" si="40"/>
        <v/>
      </c>
      <c r="Y85" s="22" t="str">
        <f t="shared" si="41"/>
        <v/>
      </c>
      <c r="Z85" s="126" t="str">
        <f>IF(B85&lt;&gt;"",IF(B85=Segédlet!$L$6,"Jogosult igényelni","Nem jogosult igényelni"),"")</f>
        <v/>
      </c>
      <c r="AA85" s="11" t="str">
        <f t="shared" si="47"/>
        <v/>
      </c>
      <c r="AB85" s="11" t="str">
        <f t="shared" si="48"/>
        <v/>
      </c>
      <c r="AC85" s="11" t="str">
        <f t="shared" si="49"/>
        <v/>
      </c>
      <c r="AD85" s="11" t="str">
        <f t="shared" si="50"/>
        <v/>
      </c>
      <c r="AE85" s="11" t="str">
        <f t="shared" si="51"/>
        <v/>
      </c>
      <c r="AF85" s="11" t="str">
        <f t="shared" si="52"/>
        <v/>
      </c>
      <c r="AG85" s="6" t="str">
        <f>IF(B85&lt;&gt;"",Segédlet!N81+Segédlet!O81+Segédlet!R81+AF85+AE85,"")</f>
        <v/>
      </c>
    </row>
    <row r="86" spans="1:33" s="7" customFormat="1" x14ac:dyDescent="0.2">
      <c r="A86" s="9" t="str">
        <f t="shared" si="53"/>
        <v xml:space="preserve"> </v>
      </c>
      <c r="B86" s="10"/>
      <c r="C86" s="18"/>
      <c r="D86" s="21" t="str">
        <f>IF(C86&lt;&gt;"",INDEX(Segédlet!$B$5:$B$37,MATCH(C86,Segédlet!$C$5:$C$37,0)),"")</f>
        <v/>
      </c>
      <c r="E86" s="19"/>
      <c r="F86" s="8"/>
      <c r="G86" s="5" t="str">
        <f t="shared" si="33"/>
        <v/>
      </c>
      <c r="H86" s="8" t="str">
        <f t="shared" si="34"/>
        <v/>
      </c>
      <c r="I86" s="8" t="str">
        <f t="shared" si="35"/>
        <v/>
      </c>
      <c r="J86" s="8" t="str">
        <f t="shared" si="42"/>
        <v/>
      </c>
      <c r="K86" s="8" t="str">
        <f t="shared" si="43"/>
        <v/>
      </c>
      <c r="L86" s="8" t="str">
        <f t="shared" si="44"/>
        <v/>
      </c>
      <c r="M86" s="8" t="str">
        <f t="shared" si="45"/>
        <v/>
      </c>
      <c r="N86" s="11"/>
      <c r="O86" s="11" t="str">
        <f t="shared" si="36"/>
        <v/>
      </c>
      <c r="P86" s="20"/>
      <c r="Q86" s="6" t="str">
        <f>IF(B86&lt;&gt;"",IF(AND(I86&gt;0,U86&gt;0),(N86+K86-I86)*VLOOKUP(P86,Segédlet!$I$5:$J$12,2,0),(N86+K86)*VLOOKUP(P86,Segédlet!$I$5:$J$12,2,0)),"")</f>
        <v/>
      </c>
      <c r="R86" s="6" t="str">
        <f>IF(B86&lt;&gt;"",IF((L86+M86)&lt;=14,(L86+M86)*K86*VLOOKUP(C86,Segédlet!$C$5:$G$37,4,0),K86*14*VLOOKUP(C86,Segédlet!$C$5:$G$37,4,0)+((L86+M86)-14)*K86*VLOOKUP(C86,Segédlet!$C$5:$G$37,5,0)),"")</f>
        <v/>
      </c>
      <c r="S86" s="6" t="str">
        <f>IF(B86&lt;&gt;"",IF(G86&lt;=14,G86*N86*VLOOKUP(C86,Segédlet!$C$5:$G$37,2,0),N86*14*VLOOKUP(C86,Segédlet!$C$5:$G$37,2,0)+(G86-14)*N86*VLOOKUP(C86,Segédlet!$C$5:$G$37,3,0)),"")</f>
        <v/>
      </c>
      <c r="T86" s="12" t="str">
        <f t="shared" si="37"/>
        <v/>
      </c>
      <c r="U86" s="12" t="str">
        <f t="shared" si="38"/>
        <v/>
      </c>
      <c r="V86" s="12" t="str">
        <f t="shared" si="46"/>
        <v/>
      </c>
      <c r="W86" s="12" t="str">
        <f t="shared" si="39"/>
        <v/>
      </c>
      <c r="X86" s="51" t="str">
        <f t="shared" si="40"/>
        <v/>
      </c>
      <c r="Y86" s="22" t="str">
        <f t="shared" si="41"/>
        <v/>
      </c>
      <c r="Z86" s="126" t="str">
        <f>IF(B86&lt;&gt;"",IF(B86=Segédlet!$L$6,"Jogosult igényelni","Nem jogosult igényelni"),"")</f>
        <v/>
      </c>
      <c r="AA86" s="11" t="str">
        <f t="shared" si="47"/>
        <v/>
      </c>
      <c r="AB86" s="11" t="str">
        <f t="shared" si="48"/>
        <v/>
      </c>
      <c r="AC86" s="11" t="str">
        <f t="shared" si="49"/>
        <v/>
      </c>
      <c r="AD86" s="11" t="str">
        <f t="shared" si="50"/>
        <v/>
      </c>
      <c r="AE86" s="11" t="str">
        <f t="shared" si="51"/>
        <v/>
      </c>
      <c r="AF86" s="11" t="str">
        <f t="shared" si="52"/>
        <v/>
      </c>
      <c r="AG86" s="6" t="str">
        <f>IF(B86&lt;&gt;"",Segédlet!N82+Segédlet!O82+Segédlet!R82+AF86+AE86,"")</f>
        <v/>
      </c>
    </row>
    <row r="87" spans="1:33" s="7" customFormat="1" x14ac:dyDescent="0.2">
      <c r="A87" s="9" t="str">
        <f t="shared" si="53"/>
        <v xml:space="preserve"> </v>
      </c>
      <c r="B87" s="10"/>
      <c r="C87" s="18"/>
      <c r="D87" s="21" t="str">
        <f>IF(C87&lt;&gt;"",INDEX(Segédlet!$B$5:$B$37,MATCH(C87,Segédlet!$C$5:$C$37,0)),"")</f>
        <v/>
      </c>
      <c r="E87" s="19"/>
      <c r="F87" s="8"/>
      <c r="G87" s="5" t="str">
        <f t="shared" si="33"/>
        <v/>
      </c>
      <c r="H87" s="8" t="str">
        <f t="shared" si="34"/>
        <v/>
      </c>
      <c r="I87" s="8" t="str">
        <f t="shared" si="35"/>
        <v/>
      </c>
      <c r="J87" s="8" t="str">
        <f t="shared" si="42"/>
        <v/>
      </c>
      <c r="K87" s="8" t="str">
        <f t="shared" si="43"/>
        <v/>
      </c>
      <c r="L87" s="8" t="str">
        <f t="shared" si="44"/>
        <v/>
      </c>
      <c r="M87" s="8" t="str">
        <f t="shared" si="45"/>
        <v/>
      </c>
      <c r="N87" s="11"/>
      <c r="O87" s="11" t="str">
        <f t="shared" si="36"/>
        <v/>
      </c>
      <c r="P87" s="20"/>
      <c r="Q87" s="6" t="str">
        <f>IF(B87&lt;&gt;"",IF(AND(I87&gt;0,U87&gt;0),(N87+K87-I87)*VLOOKUP(P87,Segédlet!$I$5:$J$12,2,0),(N87+K87)*VLOOKUP(P87,Segédlet!$I$5:$J$12,2,0)),"")</f>
        <v/>
      </c>
      <c r="R87" s="6" t="str">
        <f>IF(B87&lt;&gt;"",IF((L87+M87)&lt;=14,(L87+M87)*K87*VLOOKUP(C87,Segédlet!$C$5:$G$37,4,0),K87*14*VLOOKUP(C87,Segédlet!$C$5:$G$37,4,0)+((L87+M87)-14)*K87*VLOOKUP(C87,Segédlet!$C$5:$G$37,5,0)),"")</f>
        <v/>
      </c>
      <c r="S87" s="6" t="str">
        <f>IF(B87&lt;&gt;"",IF(G87&lt;=14,G87*N87*VLOOKUP(C87,Segédlet!$C$5:$G$37,2,0),N87*14*VLOOKUP(C87,Segédlet!$C$5:$G$37,2,0)+(G87-14)*N87*VLOOKUP(C87,Segédlet!$C$5:$G$37,3,0)),"")</f>
        <v/>
      </c>
      <c r="T87" s="12" t="str">
        <f t="shared" si="37"/>
        <v/>
      </c>
      <c r="U87" s="12" t="str">
        <f t="shared" si="38"/>
        <v/>
      </c>
      <c r="V87" s="12" t="str">
        <f t="shared" si="46"/>
        <v/>
      </c>
      <c r="W87" s="12" t="str">
        <f t="shared" si="39"/>
        <v/>
      </c>
      <c r="X87" s="51" t="str">
        <f t="shared" si="40"/>
        <v/>
      </c>
      <c r="Y87" s="22" t="str">
        <f t="shared" si="41"/>
        <v/>
      </c>
      <c r="Z87" s="126" t="str">
        <f>IF(B87&lt;&gt;"",IF(B87=Segédlet!$L$6,"Jogosult igényelni","Nem jogosult igényelni"),"")</f>
        <v/>
      </c>
      <c r="AA87" s="11" t="str">
        <f t="shared" si="47"/>
        <v/>
      </c>
      <c r="AB87" s="11" t="str">
        <f t="shared" si="48"/>
        <v/>
      </c>
      <c r="AC87" s="11" t="str">
        <f t="shared" si="49"/>
        <v/>
      </c>
      <c r="AD87" s="11" t="str">
        <f t="shared" si="50"/>
        <v/>
      </c>
      <c r="AE87" s="11" t="str">
        <f t="shared" si="51"/>
        <v/>
      </c>
      <c r="AF87" s="11" t="str">
        <f t="shared" si="52"/>
        <v/>
      </c>
      <c r="AG87" s="6" t="str">
        <f>IF(B87&lt;&gt;"",Segédlet!N83+Segédlet!O83+Segédlet!R83+AF87+AE87,"")</f>
        <v/>
      </c>
    </row>
    <row r="88" spans="1:33" s="7" customFormat="1" x14ac:dyDescent="0.2">
      <c r="A88" s="9" t="str">
        <f t="shared" si="53"/>
        <v xml:space="preserve"> </v>
      </c>
      <c r="B88" s="10"/>
      <c r="C88" s="18"/>
      <c r="D88" s="21" t="str">
        <f>IF(C88&lt;&gt;"",INDEX(Segédlet!$B$5:$B$37,MATCH(C88,Segédlet!$C$5:$C$37,0)),"")</f>
        <v/>
      </c>
      <c r="E88" s="19"/>
      <c r="F88" s="8"/>
      <c r="G88" s="5" t="str">
        <f t="shared" si="33"/>
        <v/>
      </c>
      <c r="H88" s="8" t="str">
        <f t="shared" si="34"/>
        <v/>
      </c>
      <c r="I88" s="8" t="str">
        <f t="shared" si="35"/>
        <v/>
      </c>
      <c r="J88" s="8" t="str">
        <f t="shared" si="42"/>
        <v/>
      </c>
      <c r="K88" s="8" t="str">
        <f t="shared" si="43"/>
        <v/>
      </c>
      <c r="L88" s="8" t="str">
        <f t="shared" si="44"/>
        <v/>
      </c>
      <c r="M88" s="8" t="str">
        <f t="shared" si="45"/>
        <v/>
      </c>
      <c r="N88" s="11"/>
      <c r="O88" s="11" t="str">
        <f t="shared" si="36"/>
        <v/>
      </c>
      <c r="P88" s="20"/>
      <c r="Q88" s="6" t="str">
        <f>IF(B88&lt;&gt;"",IF(AND(I88&gt;0,U88&gt;0),(N88+K88-I88)*VLOOKUP(P88,Segédlet!$I$5:$J$12,2,0),(N88+K88)*VLOOKUP(P88,Segédlet!$I$5:$J$12,2,0)),"")</f>
        <v/>
      </c>
      <c r="R88" s="6" t="str">
        <f>IF(B88&lt;&gt;"",IF((L88+M88)&lt;=14,(L88+M88)*K88*VLOOKUP(C88,Segédlet!$C$5:$G$37,4,0),K88*14*VLOOKUP(C88,Segédlet!$C$5:$G$37,4,0)+((L88+M88)-14)*K88*VLOOKUP(C88,Segédlet!$C$5:$G$37,5,0)),"")</f>
        <v/>
      </c>
      <c r="S88" s="6" t="str">
        <f>IF(B88&lt;&gt;"",IF(G88&lt;=14,G88*N88*VLOOKUP(C88,Segédlet!$C$5:$G$37,2,0),N88*14*VLOOKUP(C88,Segédlet!$C$5:$G$37,2,0)+(G88-14)*N88*VLOOKUP(C88,Segédlet!$C$5:$G$37,3,0)),"")</f>
        <v/>
      </c>
      <c r="T88" s="12" t="str">
        <f t="shared" si="37"/>
        <v/>
      </c>
      <c r="U88" s="12" t="str">
        <f t="shared" si="38"/>
        <v/>
      </c>
      <c r="V88" s="12" t="str">
        <f t="shared" si="46"/>
        <v/>
      </c>
      <c r="W88" s="12" t="str">
        <f t="shared" si="39"/>
        <v/>
      </c>
      <c r="X88" s="51" t="str">
        <f t="shared" si="40"/>
        <v/>
      </c>
      <c r="Y88" s="22" t="str">
        <f t="shared" si="41"/>
        <v/>
      </c>
      <c r="Z88" s="126" t="str">
        <f>IF(B88&lt;&gt;"",IF(B88=Segédlet!$L$6,"Jogosult igényelni","Nem jogosult igényelni"),"")</f>
        <v/>
      </c>
      <c r="AA88" s="11" t="str">
        <f t="shared" si="47"/>
        <v/>
      </c>
      <c r="AB88" s="11" t="str">
        <f t="shared" si="48"/>
        <v/>
      </c>
      <c r="AC88" s="11" t="str">
        <f t="shared" si="49"/>
        <v/>
      </c>
      <c r="AD88" s="11" t="str">
        <f t="shared" si="50"/>
        <v/>
      </c>
      <c r="AE88" s="11" t="str">
        <f t="shared" si="51"/>
        <v/>
      </c>
      <c r="AF88" s="11" t="str">
        <f t="shared" si="52"/>
        <v/>
      </c>
      <c r="AG88" s="6" t="str">
        <f>IF(B88&lt;&gt;"",Segédlet!N84+Segédlet!O84+Segédlet!R84+AF88+AE88,"")</f>
        <v/>
      </c>
    </row>
    <row r="89" spans="1:33" s="7" customFormat="1" x14ac:dyDescent="0.2">
      <c r="A89" s="9" t="str">
        <f t="shared" si="53"/>
        <v xml:space="preserve"> </v>
      </c>
      <c r="B89" s="10"/>
      <c r="C89" s="18"/>
      <c r="D89" s="21" t="str">
        <f>IF(C89&lt;&gt;"",INDEX(Segédlet!$B$5:$B$37,MATCH(C89,Segédlet!$C$5:$C$37,0)),"")</f>
        <v/>
      </c>
      <c r="E89" s="19"/>
      <c r="F89" s="8"/>
      <c r="G89" s="5" t="str">
        <f t="shared" si="33"/>
        <v/>
      </c>
      <c r="H89" s="8" t="str">
        <f t="shared" si="34"/>
        <v/>
      </c>
      <c r="I89" s="8" t="str">
        <f t="shared" si="35"/>
        <v/>
      </c>
      <c r="J89" s="8" t="str">
        <f t="shared" si="42"/>
        <v/>
      </c>
      <c r="K89" s="8" t="str">
        <f t="shared" si="43"/>
        <v/>
      </c>
      <c r="L89" s="8" t="str">
        <f t="shared" si="44"/>
        <v/>
      </c>
      <c r="M89" s="8" t="str">
        <f t="shared" si="45"/>
        <v/>
      </c>
      <c r="N89" s="11"/>
      <c r="O89" s="11" t="str">
        <f t="shared" si="36"/>
        <v/>
      </c>
      <c r="P89" s="20"/>
      <c r="Q89" s="6" t="str">
        <f>IF(B89&lt;&gt;"",IF(AND(I89&gt;0,U89&gt;0),(N89+K89-I89)*VLOOKUP(P89,Segédlet!$I$5:$J$12,2,0),(N89+K89)*VLOOKUP(P89,Segédlet!$I$5:$J$12,2,0)),"")</f>
        <v/>
      </c>
      <c r="R89" s="6" t="str">
        <f>IF(B89&lt;&gt;"",IF((L89+M89)&lt;=14,(L89+M89)*K89*VLOOKUP(C89,Segédlet!$C$5:$G$37,4,0),K89*14*VLOOKUP(C89,Segédlet!$C$5:$G$37,4,0)+((L89+M89)-14)*K89*VLOOKUP(C89,Segédlet!$C$5:$G$37,5,0)),"")</f>
        <v/>
      </c>
      <c r="S89" s="6" t="str">
        <f>IF(B89&lt;&gt;"",IF(G89&lt;=14,G89*N89*VLOOKUP(C89,Segédlet!$C$5:$G$37,2,0),N89*14*VLOOKUP(C89,Segédlet!$C$5:$G$37,2,0)+(G89-14)*N89*VLOOKUP(C89,Segédlet!$C$5:$G$37,3,0)),"")</f>
        <v/>
      </c>
      <c r="T89" s="12" t="str">
        <f t="shared" si="37"/>
        <v/>
      </c>
      <c r="U89" s="12" t="str">
        <f t="shared" si="38"/>
        <v/>
      </c>
      <c r="V89" s="12" t="str">
        <f t="shared" si="46"/>
        <v/>
      </c>
      <c r="W89" s="12" t="str">
        <f t="shared" si="39"/>
        <v/>
      </c>
      <c r="X89" s="51" t="str">
        <f t="shared" si="40"/>
        <v/>
      </c>
      <c r="Y89" s="22" t="str">
        <f t="shared" si="41"/>
        <v/>
      </c>
      <c r="Z89" s="126" t="str">
        <f>IF(B89&lt;&gt;"",IF(B89=Segédlet!$L$6,"Jogosult igényelni","Nem jogosult igényelni"),"")</f>
        <v/>
      </c>
      <c r="AA89" s="11" t="str">
        <f t="shared" si="47"/>
        <v/>
      </c>
      <c r="AB89" s="11" t="str">
        <f t="shared" si="48"/>
        <v/>
      </c>
      <c r="AC89" s="11" t="str">
        <f t="shared" si="49"/>
        <v/>
      </c>
      <c r="AD89" s="11" t="str">
        <f t="shared" si="50"/>
        <v/>
      </c>
      <c r="AE89" s="11" t="str">
        <f t="shared" si="51"/>
        <v/>
      </c>
      <c r="AF89" s="11" t="str">
        <f t="shared" si="52"/>
        <v/>
      </c>
      <c r="AG89" s="6" t="str">
        <f>IF(B89&lt;&gt;"",Segédlet!N85+Segédlet!O85+Segédlet!R85+AF89+AE89,"")</f>
        <v/>
      </c>
    </row>
    <row r="90" spans="1:33" s="7" customFormat="1" x14ac:dyDescent="0.2">
      <c r="A90" s="9" t="str">
        <f t="shared" si="53"/>
        <v xml:space="preserve"> </v>
      </c>
      <c r="B90" s="10"/>
      <c r="C90" s="18"/>
      <c r="D90" s="21" t="str">
        <f>IF(C90&lt;&gt;"",INDEX(Segédlet!$B$5:$B$37,MATCH(C90,Segédlet!$C$5:$C$37,0)),"")</f>
        <v/>
      </c>
      <c r="E90" s="19"/>
      <c r="F90" s="8"/>
      <c r="G90" s="5" t="str">
        <f t="shared" si="33"/>
        <v/>
      </c>
      <c r="H90" s="8" t="str">
        <f t="shared" si="34"/>
        <v/>
      </c>
      <c r="I90" s="8" t="str">
        <f t="shared" si="35"/>
        <v/>
      </c>
      <c r="J90" s="8" t="str">
        <f t="shared" si="42"/>
        <v/>
      </c>
      <c r="K90" s="8" t="str">
        <f t="shared" si="43"/>
        <v/>
      </c>
      <c r="L90" s="8" t="str">
        <f t="shared" si="44"/>
        <v/>
      </c>
      <c r="M90" s="8" t="str">
        <f t="shared" si="45"/>
        <v/>
      </c>
      <c r="N90" s="11"/>
      <c r="O90" s="11" t="str">
        <f t="shared" si="36"/>
        <v/>
      </c>
      <c r="P90" s="20"/>
      <c r="Q90" s="6" t="str">
        <f>IF(B90&lt;&gt;"",IF(AND(I90&gt;0,U90&gt;0),(N90+K90-I90)*VLOOKUP(P90,Segédlet!$I$5:$J$12,2,0),(N90+K90)*VLOOKUP(P90,Segédlet!$I$5:$J$12,2,0)),"")</f>
        <v/>
      </c>
      <c r="R90" s="6" t="str">
        <f>IF(B90&lt;&gt;"",IF((L90+M90)&lt;=14,(L90+M90)*K90*VLOOKUP(C90,Segédlet!$C$5:$G$37,4,0),K90*14*VLOOKUP(C90,Segédlet!$C$5:$G$37,4,0)+((L90+M90)-14)*K90*VLOOKUP(C90,Segédlet!$C$5:$G$37,5,0)),"")</f>
        <v/>
      </c>
      <c r="S90" s="6" t="str">
        <f>IF(B90&lt;&gt;"",IF(G90&lt;=14,G90*N90*VLOOKUP(C90,Segédlet!$C$5:$G$37,2,0),N90*14*VLOOKUP(C90,Segédlet!$C$5:$G$37,2,0)+(G90-14)*N90*VLOOKUP(C90,Segédlet!$C$5:$G$37,3,0)),"")</f>
        <v/>
      </c>
      <c r="T90" s="12" t="str">
        <f t="shared" si="37"/>
        <v/>
      </c>
      <c r="U90" s="12" t="str">
        <f t="shared" si="38"/>
        <v/>
      </c>
      <c r="V90" s="12" t="str">
        <f t="shared" si="46"/>
        <v/>
      </c>
      <c r="W90" s="12" t="str">
        <f t="shared" si="39"/>
        <v/>
      </c>
      <c r="X90" s="51" t="str">
        <f t="shared" si="40"/>
        <v/>
      </c>
      <c r="Y90" s="22" t="str">
        <f t="shared" si="41"/>
        <v/>
      </c>
      <c r="Z90" s="126" t="str">
        <f>IF(B90&lt;&gt;"",IF(B90=Segédlet!$L$6,"Jogosult igényelni","Nem jogosult igényelni"),"")</f>
        <v/>
      </c>
      <c r="AA90" s="11" t="str">
        <f t="shared" si="47"/>
        <v/>
      </c>
      <c r="AB90" s="11" t="str">
        <f t="shared" si="48"/>
        <v/>
      </c>
      <c r="AC90" s="11" t="str">
        <f t="shared" si="49"/>
        <v/>
      </c>
      <c r="AD90" s="11" t="str">
        <f t="shared" si="50"/>
        <v/>
      </c>
      <c r="AE90" s="11" t="str">
        <f t="shared" si="51"/>
        <v/>
      </c>
      <c r="AF90" s="11" t="str">
        <f t="shared" si="52"/>
        <v/>
      </c>
      <c r="AG90" s="6" t="str">
        <f>IF(B90&lt;&gt;"",Segédlet!N86+Segédlet!O86+Segédlet!R86+AF90+AE90,"")</f>
        <v/>
      </c>
    </row>
    <row r="91" spans="1:33" s="7" customFormat="1" x14ac:dyDescent="0.2">
      <c r="A91" s="9" t="str">
        <f t="shared" si="53"/>
        <v xml:space="preserve"> </v>
      </c>
      <c r="B91" s="10"/>
      <c r="C91" s="18"/>
      <c r="D91" s="21" t="str">
        <f>IF(C91&lt;&gt;"",INDEX(Segédlet!$B$5:$B$37,MATCH(C91,Segédlet!$C$5:$C$37,0)),"")</f>
        <v/>
      </c>
      <c r="E91" s="19"/>
      <c r="F91" s="8"/>
      <c r="G91" s="5" t="str">
        <f t="shared" si="33"/>
        <v/>
      </c>
      <c r="H91" s="8" t="str">
        <f t="shared" si="34"/>
        <v/>
      </c>
      <c r="I91" s="8" t="str">
        <f t="shared" si="35"/>
        <v/>
      </c>
      <c r="J91" s="8" t="str">
        <f t="shared" si="42"/>
        <v/>
      </c>
      <c r="K91" s="8" t="str">
        <f t="shared" si="43"/>
        <v/>
      </c>
      <c r="L91" s="8" t="str">
        <f t="shared" si="44"/>
        <v/>
      </c>
      <c r="M91" s="8" t="str">
        <f t="shared" si="45"/>
        <v/>
      </c>
      <c r="N91" s="11"/>
      <c r="O91" s="11" t="str">
        <f t="shared" si="36"/>
        <v/>
      </c>
      <c r="P91" s="20"/>
      <c r="Q91" s="6" t="str">
        <f>IF(B91&lt;&gt;"",IF(AND(I91&gt;0,U91&gt;0),(N91+K91-I91)*VLOOKUP(P91,Segédlet!$I$5:$J$12,2,0),(N91+K91)*VLOOKUP(P91,Segédlet!$I$5:$J$12,2,0)),"")</f>
        <v/>
      </c>
      <c r="R91" s="6" t="str">
        <f>IF(B91&lt;&gt;"",IF((L91+M91)&lt;=14,(L91+M91)*K91*VLOOKUP(C91,Segédlet!$C$5:$G$37,4,0),K91*14*VLOOKUP(C91,Segédlet!$C$5:$G$37,4,0)+((L91+M91)-14)*K91*VLOOKUP(C91,Segédlet!$C$5:$G$37,5,0)),"")</f>
        <v/>
      </c>
      <c r="S91" s="6" t="str">
        <f>IF(B91&lt;&gt;"",IF(G91&lt;=14,G91*N91*VLOOKUP(C91,Segédlet!$C$5:$G$37,2,0),N91*14*VLOOKUP(C91,Segédlet!$C$5:$G$37,2,0)+(G91-14)*N91*VLOOKUP(C91,Segédlet!$C$5:$G$37,3,0)),"")</f>
        <v/>
      </c>
      <c r="T91" s="12" t="str">
        <f t="shared" si="37"/>
        <v/>
      </c>
      <c r="U91" s="12" t="str">
        <f t="shared" si="38"/>
        <v/>
      </c>
      <c r="V91" s="12" t="str">
        <f t="shared" si="46"/>
        <v/>
      </c>
      <c r="W91" s="12" t="str">
        <f t="shared" si="39"/>
        <v/>
      </c>
      <c r="X91" s="51" t="str">
        <f t="shared" si="40"/>
        <v/>
      </c>
      <c r="Y91" s="22" t="str">
        <f t="shared" si="41"/>
        <v/>
      </c>
      <c r="Z91" s="126" t="str">
        <f>IF(B91&lt;&gt;"",IF(B91=Segédlet!$L$6,"Jogosult igényelni","Nem jogosult igényelni"),"")</f>
        <v/>
      </c>
      <c r="AA91" s="11" t="str">
        <f t="shared" si="47"/>
        <v/>
      </c>
      <c r="AB91" s="11" t="str">
        <f t="shared" si="48"/>
        <v/>
      </c>
      <c r="AC91" s="11" t="str">
        <f t="shared" si="49"/>
        <v/>
      </c>
      <c r="AD91" s="11" t="str">
        <f t="shared" si="50"/>
        <v/>
      </c>
      <c r="AE91" s="11" t="str">
        <f t="shared" si="51"/>
        <v/>
      </c>
      <c r="AF91" s="11" t="str">
        <f t="shared" si="52"/>
        <v/>
      </c>
      <c r="AG91" s="6" t="str">
        <f>IF(B91&lt;&gt;"",Segédlet!N87+Segédlet!O87+Segédlet!R87+AF91+AE91,"")</f>
        <v/>
      </c>
    </row>
    <row r="92" spans="1:33" s="7" customFormat="1" x14ac:dyDescent="0.2">
      <c r="A92" s="9" t="str">
        <f t="shared" si="53"/>
        <v xml:space="preserve"> </v>
      </c>
      <c r="B92" s="10"/>
      <c r="C92" s="18"/>
      <c r="D92" s="21" t="str">
        <f>IF(C92&lt;&gt;"",INDEX(Segédlet!$B$5:$B$37,MATCH(C92,Segédlet!$C$5:$C$37,0)),"")</f>
        <v/>
      </c>
      <c r="E92" s="19"/>
      <c r="F92" s="8"/>
      <c r="G92" s="5" t="str">
        <f t="shared" si="33"/>
        <v/>
      </c>
      <c r="H92" s="8" t="str">
        <f t="shared" si="34"/>
        <v/>
      </c>
      <c r="I92" s="8" t="str">
        <f t="shared" si="35"/>
        <v/>
      </c>
      <c r="J92" s="8" t="str">
        <f t="shared" si="42"/>
        <v/>
      </c>
      <c r="K92" s="8" t="str">
        <f t="shared" si="43"/>
        <v/>
      </c>
      <c r="L92" s="8" t="str">
        <f t="shared" si="44"/>
        <v/>
      </c>
      <c r="M92" s="8" t="str">
        <f t="shared" si="45"/>
        <v/>
      </c>
      <c r="N92" s="11"/>
      <c r="O92" s="11" t="str">
        <f t="shared" si="36"/>
        <v/>
      </c>
      <c r="P92" s="20"/>
      <c r="Q92" s="6" t="str">
        <f>IF(B92&lt;&gt;"",IF(AND(I92&gt;0,U92&gt;0),(N92+K92-I92)*VLOOKUP(P92,Segédlet!$I$5:$J$12,2,0),(N92+K92)*VLOOKUP(P92,Segédlet!$I$5:$J$12,2,0)),"")</f>
        <v/>
      </c>
      <c r="R92" s="6" t="str">
        <f>IF(B92&lt;&gt;"",IF((L92+M92)&lt;=14,(L92+M92)*K92*VLOOKUP(C92,Segédlet!$C$5:$G$37,4,0),K92*14*VLOOKUP(C92,Segédlet!$C$5:$G$37,4,0)+((L92+M92)-14)*K92*VLOOKUP(C92,Segédlet!$C$5:$G$37,5,0)),"")</f>
        <v/>
      </c>
      <c r="S92" s="6" t="str">
        <f>IF(B92&lt;&gt;"",IF(G92&lt;=14,G92*N92*VLOOKUP(C92,Segédlet!$C$5:$G$37,2,0),N92*14*VLOOKUP(C92,Segédlet!$C$5:$G$37,2,0)+(G92-14)*N92*VLOOKUP(C92,Segédlet!$C$5:$G$37,3,0)),"")</f>
        <v/>
      </c>
      <c r="T92" s="12" t="str">
        <f t="shared" si="37"/>
        <v/>
      </c>
      <c r="U92" s="12" t="str">
        <f t="shared" si="38"/>
        <v/>
      </c>
      <c r="V92" s="12" t="str">
        <f t="shared" si="46"/>
        <v/>
      </c>
      <c r="W92" s="12" t="str">
        <f t="shared" si="39"/>
        <v/>
      </c>
      <c r="X92" s="51" t="str">
        <f t="shared" si="40"/>
        <v/>
      </c>
      <c r="Y92" s="22" t="str">
        <f t="shared" si="41"/>
        <v/>
      </c>
      <c r="Z92" s="126" t="str">
        <f>IF(B92&lt;&gt;"",IF(B92=Segédlet!$L$6,"Jogosult igényelni","Nem jogosult igényelni"),"")</f>
        <v/>
      </c>
      <c r="AA92" s="11" t="str">
        <f t="shared" si="47"/>
        <v/>
      </c>
      <c r="AB92" s="11" t="str">
        <f t="shared" si="48"/>
        <v/>
      </c>
      <c r="AC92" s="11" t="str">
        <f t="shared" si="49"/>
        <v/>
      </c>
      <c r="AD92" s="11" t="str">
        <f t="shared" si="50"/>
        <v/>
      </c>
      <c r="AE92" s="11" t="str">
        <f t="shared" si="51"/>
        <v/>
      </c>
      <c r="AF92" s="11" t="str">
        <f t="shared" si="52"/>
        <v/>
      </c>
      <c r="AG92" s="6" t="str">
        <f>IF(B92&lt;&gt;"",Segédlet!N88+Segédlet!O88+Segédlet!R88+AF92+AE92,"")</f>
        <v/>
      </c>
    </row>
    <row r="93" spans="1:33" s="7" customFormat="1" x14ac:dyDescent="0.2">
      <c r="A93" s="9" t="str">
        <f t="shared" si="53"/>
        <v xml:space="preserve"> </v>
      </c>
      <c r="B93" s="10"/>
      <c r="C93" s="18"/>
      <c r="D93" s="21" t="str">
        <f>IF(C93&lt;&gt;"",INDEX(Segédlet!$B$5:$B$37,MATCH(C93,Segédlet!$C$5:$C$37,0)),"")</f>
        <v/>
      </c>
      <c r="E93" s="19"/>
      <c r="F93" s="8"/>
      <c r="G93" s="5" t="str">
        <f t="shared" si="33"/>
        <v/>
      </c>
      <c r="H93" s="8" t="str">
        <f t="shared" si="34"/>
        <v/>
      </c>
      <c r="I93" s="8" t="str">
        <f t="shared" si="35"/>
        <v/>
      </c>
      <c r="J93" s="8" t="str">
        <f t="shared" si="42"/>
        <v/>
      </c>
      <c r="K93" s="8" t="str">
        <f t="shared" si="43"/>
        <v/>
      </c>
      <c r="L93" s="8" t="str">
        <f t="shared" si="44"/>
        <v/>
      </c>
      <c r="M93" s="8" t="str">
        <f t="shared" si="45"/>
        <v/>
      </c>
      <c r="N93" s="11"/>
      <c r="O93" s="11" t="str">
        <f t="shared" si="36"/>
        <v/>
      </c>
      <c r="P93" s="20"/>
      <c r="Q93" s="6" t="str">
        <f>IF(B93&lt;&gt;"",IF(AND(I93&gt;0,U93&gt;0),(N93+K93-I93)*VLOOKUP(P93,Segédlet!$I$5:$J$12,2,0),(N93+K93)*VLOOKUP(P93,Segédlet!$I$5:$J$12,2,0)),"")</f>
        <v/>
      </c>
      <c r="R93" s="6" t="str">
        <f>IF(B93&lt;&gt;"",IF((L93+M93)&lt;=14,(L93+M93)*K93*VLOOKUP(C93,Segédlet!$C$5:$G$37,4,0),K93*14*VLOOKUP(C93,Segédlet!$C$5:$G$37,4,0)+((L93+M93)-14)*K93*VLOOKUP(C93,Segédlet!$C$5:$G$37,5,0)),"")</f>
        <v/>
      </c>
      <c r="S93" s="6" t="str">
        <f>IF(B93&lt;&gt;"",IF(G93&lt;=14,G93*N93*VLOOKUP(C93,Segédlet!$C$5:$G$37,2,0),N93*14*VLOOKUP(C93,Segédlet!$C$5:$G$37,2,0)+(G93-14)*N93*VLOOKUP(C93,Segédlet!$C$5:$G$37,3,0)),"")</f>
        <v/>
      </c>
      <c r="T93" s="12" t="str">
        <f t="shared" si="37"/>
        <v/>
      </c>
      <c r="U93" s="12" t="str">
        <f t="shared" si="38"/>
        <v/>
      </c>
      <c r="V93" s="12" t="str">
        <f t="shared" si="46"/>
        <v/>
      </c>
      <c r="W93" s="12" t="str">
        <f t="shared" si="39"/>
        <v/>
      </c>
      <c r="X93" s="51" t="str">
        <f t="shared" si="40"/>
        <v/>
      </c>
      <c r="Y93" s="22" t="str">
        <f t="shared" si="41"/>
        <v/>
      </c>
      <c r="Z93" s="126" t="str">
        <f>IF(B93&lt;&gt;"",IF(B93=Segédlet!$L$6,"Jogosult igényelni","Nem jogosult igényelni"),"")</f>
        <v/>
      </c>
      <c r="AA93" s="11" t="str">
        <f t="shared" si="47"/>
        <v/>
      </c>
      <c r="AB93" s="11" t="str">
        <f t="shared" si="48"/>
        <v/>
      </c>
      <c r="AC93" s="11" t="str">
        <f t="shared" si="49"/>
        <v/>
      </c>
      <c r="AD93" s="11" t="str">
        <f t="shared" si="50"/>
        <v/>
      </c>
      <c r="AE93" s="11" t="str">
        <f t="shared" si="51"/>
        <v/>
      </c>
      <c r="AF93" s="11" t="str">
        <f t="shared" si="52"/>
        <v/>
      </c>
      <c r="AG93" s="6" t="str">
        <f>IF(B93&lt;&gt;"",Segédlet!N89+Segédlet!O89+Segédlet!R89+AF93+AE93,"")</f>
        <v/>
      </c>
    </row>
    <row r="94" spans="1:33" s="7" customFormat="1" x14ac:dyDescent="0.2">
      <c r="A94" s="9" t="str">
        <f t="shared" si="53"/>
        <v xml:space="preserve"> </v>
      </c>
      <c r="B94" s="10"/>
      <c r="C94" s="18"/>
      <c r="D94" s="21" t="str">
        <f>IF(C94&lt;&gt;"",INDEX(Segédlet!$B$5:$B$37,MATCH(C94,Segédlet!$C$5:$C$37,0)),"")</f>
        <v/>
      </c>
      <c r="E94" s="19"/>
      <c r="F94" s="8"/>
      <c r="G94" s="5" t="str">
        <f t="shared" si="33"/>
        <v/>
      </c>
      <c r="H94" s="8" t="str">
        <f t="shared" si="34"/>
        <v/>
      </c>
      <c r="I94" s="8" t="str">
        <f t="shared" si="35"/>
        <v/>
      </c>
      <c r="J94" s="8" t="str">
        <f t="shared" si="42"/>
        <v/>
      </c>
      <c r="K94" s="8" t="str">
        <f t="shared" si="43"/>
        <v/>
      </c>
      <c r="L94" s="8" t="str">
        <f t="shared" si="44"/>
        <v/>
      </c>
      <c r="M94" s="8" t="str">
        <f t="shared" si="45"/>
        <v/>
      </c>
      <c r="N94" s="11"/>
      <c r="O94" s="11" t="str">
        <f t="shared" si="36"/>
        <v/>
      </c>
      <c r="P94" s="20"/>
      <c r="Q94" s="6" t="str">
        <f>IF(B94&lt;&gt;"",IF(AND(I94&gt;0,U94&gt;0),(N94+K94-I94)*VLOOKUP(P94,Segédlet!$I$5:$J$12,2,0),(N94+K94)*VLOOKUP(P94,Segédlet!$I$5:$J$12,2,0)),"")</f>
        <v/>
      </c>
      <c r="R94" s="6" t="str">
        <f>IF(B94&lt;&gt;"",IF((L94+M94)&lt;=14,(L94+M94)*K94*VLOOKUP(C94,Segédlet!$C$5:$G$37,4,0),K94*14*VLOOKUP(C94,Segédlet!$C$5:$G$37,4,0)+((L94+M94)-14)*K94*VLOOKUP(C94,Segédlet!$C$5:$G$37,5,0)),"")</f>
        <v/>
      </c>
      <c r="S94" s="6" t="str">
        <f>IF(B94&lt;&gt;"",IF(G94&lt;=14,G94*N94*VLOOKUP(C94,Segédlet!$C$5:$G$37,2,0),N94*14*VLOOKUP(C94,Segédlet!$C$5:$G$37,2,0)+(G94-14)*N94*VLOOKUP(C94,Segédlet!$C$5:$G$37,3,0)),"")</f>
        <v/>
      </c>
      <c r="T94" s="12" t="str">
        <f t="shared" si="37"/>
        <v/>
      </c>
      <c r="U94" s="12" t="str">
        <f t="shared" si="38"/>
        <v/>
      </c>
      <c r="V94" s="12" t="str">
        <f t="shared" si="46"/>
        <v/>
      </c>
      <c r="W94" s="12" t="str">
        <f t="shared" si="39"/>
        <v/>
      </c>
      <c r="X94" s="51" t="str">
        <f t="shared" si="40"/>
        <v/>
      </c>
      <c r="Y94" s="22" t="str">
        <f t="shared" si="41"/>
        <v/>
      </c>
      <c r="Z94" s="126" t="str">
        <f>IF(B94&lt;&gt;"",IF(B94=Segédlet!$L$6,"Jogosult igényelni","Nem jogosult igényelni"),"")</f>
        <v/>
      </c>
      <c r="AA94" s="11" t="str">
        <f t="shared" si="47"/>
        <v/>
      </c>
      <c r="AB94" s="11" t="str">
        <f t="shared" si="48"/>
        <v/>
      </c>
      <c r="AC94" s="11" t="str">
        <f t="shared" si="49"/>
        <v/>
      </c>
      <c r="AD94" s="11" t="str">
        <f t="shared" si="50"/>
        <v/>
      </c>
      <c r="AE94" s="11" t="str">
        <f t="shared" si="51"/>
        <v/>
      </c>
      <c r="AF94" s="11" t="str">
        <f t="shared" si="52"/>
        <v/>
      </c>
      <c r="AG94" s="6" t="str">
        <f>IF(B94&lt;&gt;"",Segédlet!N90+Segédlet!O90+Segédlet!R90+AF94+AE94,"")</f>
        <v/>
      </c>
    </row>
    <row r="95" spans="1:33" s="7" customFormat="1" x14ac:dyDescent="0.2">
      <c r="A95" s="9" t="str">
        <f t="shared" si="53"/>
        <v xml:space="preserve"> </v>
      </c>
      <c r="B95" s="10"/>
      <c r="C95" s="18"/>
      <c r="D95" s="21" t="str">
        <f>IF(C95&lt;&gt;"",INDEX(Segédlet!$B$5:$B$37,MATCH(C95,Segédlet!$C$5:$C$37,0)),"")</f>
        <v/>
      </c>
      <c r="E95" s="19"/>
      <c r="F95" s="8"/>
      <c r="G95" s="5" t="str">
        <f t="shared" si="33"/>
        <v/>
      </c>
      <c r="H95" s="8" t="str">
        <f t="shared" si="34"/>
        <v/>
      </c>
      <c r="I95" s="8" t="str">
        <f t="shared" si="35"/>
        <v/>
      </c>
      <c r="J95" s="8" t="str">
        <f t="shared" si="42"/>
        <v/>
      </c>
      <c r="K95" s="8" t="str">
        <f t="shared" si="43"/>
        <v/>
      </c>
      <c r="L95" s="8" t="str">
        <f t="shared" si="44"/>
        <v/>
      </c>
      <c r="M95" s="8" t="str">
        <f t="shared" si="45"/>
        <v/>
      </c>
      <c r="N95" s="11"/>
      <c r="O95" s="11" t="str">
        <f t="shared" si="36"/>
        <v/>
      </c>
      <c r="P95" s="20"/>
      <c r="Q95" s="6" t="str">
        <f>IF(B95&lt;&gt;"",IF(AND(I95&gt;0,U95&gt;0),(N95+K95-I95)*VLOOKUP(P95,Segédlet!$I$5:$J$12,2,0),(N95+K95)*VLOOKUP(P95,Segédlet!$I$5:$J$12,2,0)),"")</f>
        <v/>
      </c>
      <c r="R95" s="6" t="str">
        <f>IF(B95&lt;&gt;"",IF((L95+M95)&lt;=14,(L95+M95)*K95*VLOOKUP(C95,Segédlet!$C$5:$G$37,4,0),K95*14*VLOOKUP(C95,Segédlet!$C$5:$G$37,4,0)+((L95+M95)-14)*K95*VLOOKUP(C95,Segédlet!$C$5:$G$37,5,0)),"")</f>
        <v/>
      </c>
      <c r="S95" s="6" t="str">
        <f>IF(B95&lt;&gt;"",IF(G95&lt;=14,G95*N95*VLOOKUP(C95,Segédlet!$C$5:$G$37,2,0),N95*14*VLOOKUP(C95,Segédlet!$C$5:$G$37,2,0)+(G95-14)*N95*VLOOKUP(C95,Segédlet!$C$5:$G$37,3,0)),"")</f>
        <v/>
      </c>
      <c r="T95" s="12" t="str">
        <f t="shared" si="37"/>
        <v/>
      </c>
      <c r="U95" s="12" t="str">
        <f t="shared" si="38"/>
        <v/>
      </c>
      <c r="V95" s="12" t="str">
        <f t="shared" si="46"/>
        <v/>
      </c>
      <c r="W95" s="12" t="str">
        <f t="shared" si="39"/>
        <v/>
      </c>
      <c r="X95" s="51" t="str">
        <f t="shared" si="40"/>
        <v/>
      </c>
      <c r="Y95" s="22" t="str">
        <f t="shared" si="41"/>
        <v/>
      </c>
      <c r="Z95" s="126" t="str">
        <f>IF(B95&lt;&gt;"",IF(B95=Segédlet!$L$6,"Jogosult igényelni","Nem jogosult igényelni"),"")</f>
        <v/>
      </c>
      <c r="AA95" s="11" t="str">
        <f t="shared" si="47"/>
        <v/>
      </c>
      <c r="AB95" s="11" t="str">
        <f t="shared" si="48"/>
        <v/>
      </c>
      <c r="AC95" s="11" t="str">
        <f t="shared" si="49"/>
        <v/>
      </c>
      <c r="AD95" s="11" t="str">
        <f t="shared" si="50"/>
        <v/>
      </c>
      <c r="AE95" s="11" t="str">
        <f t="shared" si="51"/>
        <v/>
      </c>
      <c r="AF95" s="11" t="str">
        <f t="shared" si="52"/>
        <v/>
      </c>
      <c r="AG95" s="6" t="str">
        <f>IF(B95&lt;&gt;"",Segédlet!N91+Segédlet!O91+Segédlet!R91+AF95+AE95,"")</f>
        <v/>
      </c>
    </row>
    <row r="96" spans="1:33" s="7" customFormat="1" x14ac:dyDescent="0.2">
      <c r="A96" s="9" t="str">
        <f t="shared" si="53"/>
        <v xml:space="preserve"> </v>
      </c>
      <c r="B96" s="10"/>
      <c r="C96" s="18"/>
      <c r="D96" s="21" t="str">
        <f>IF(C96&lt;&gt;"",INDEX(Segédlet!$B$5:$B$37,MATCH(C96,Segédlet!$C$5:$C$37,0)),"")</f>
        <v/>
      </c>
      <c r="E96" s="19"/>
      <c r="F96" s="8"/>
      <c r="G96" s="5" t="str">
        <f t="shared" si="33"/>
        <v/>
      </c>
      <c r="H96" s="8" t="str">
        <f t="shared" si="34"/>
        <v/>
      </c>
      <c r="I96" s="8" t="str">
        <f t="shared" si="35"/>
        <v/>
      </c>
      <c r="J96" s="8" t="str">
        <f t="shared" si="42"/>
        <v/>
      </c>
      <c r="K96" s="8" t="str">
        <f t="shared" si="43"/>
        <v/>
      </c>
      <c r="L96" s="8" t="str">
        <f t="shared" si="44"/>
        <v/>
      </c>
      <c r="M96" s="8" t="str">
        <f t="shared" si="45"/>
        <v/>
      </c>
      <c r="N96" s="11"/>
      <c r="O96" s="11" t="str">
        <f t="shared" si="36"/>
        <v/>
      </c>
      <c r="P96" s="20"/>
      <c r="Q96" s="6" t="str">
        <f>IF(B96&lt;&gt;"",IF(AND(I96&gt;0,U96&gt;0),(N96+K96-I96)*VLOOKUP(P96,Segédlet!$I$5:$J$12,2,0),(N96+K96)*VLOOKUP(P96,Segédlet!$I$5:$J$12,2,0)),"")</f>
        <v/>
      </c>
      <c r="R96" s="6" t="str">
        <f>IF(B96&lt;&gt;"",IF((L96+M96)&lt;=14,(L96+M96)*K96*VLOOKUP(C96,Segédlet!$C$5:$G$37,4,0),K96*14*VLOOKUP(C96,Segédlet!$C$5:$G$37,4,0)+((L96+M96)-14)*K96*VLOOKUP(C96,Segédlet!$C$5:$G$37,5,0)),"")</f>
        <v/>
      </c>
      <c r="S96" s="6" t="str">
        <f>IF(B96&lt;&gt;"",IF(G96&lt;=14,G96*N96*VLOOKUP(C96,Segédlet!$C$5:$G$37,2,0),N96*14*VLOOKUP(C96,Segédlet!$C$5:$G$37,2,0)+(G96-14)*N96*VLOOKUP(C96,Segédlet!$C$5:$G$37,3,0)),"")</f>
        <v/>
      </c>
      <c r="T96" s="12" t="str">
        <f t="shared" si="37"/>
        <v/>
      </c>
      <c r="U96" s="12" t="str">
        <f t="shared" si="38"/>
        <v/>
      </c>
      <c r="V96" s="12" t="str">
        <f t="shared" si="46"/>
        <v/>
      </c>
      <c r="W96" s="12" t="str">
        <f t="shared" si="39"/>
        <v/>
      </c>
      <c r="X96" s="51" t="str">
        <f t="shared" si="40"/>
        <v/>
      </c>
      <c r="Y96" s="22" t="str">
        <f t="shared" si="41"/>
        <v/>
      </c>
      <c r="Z96" s="126" t="str">
        <f>IF(B96&lt;&gt;"",IF(B96=Segédlet!$L$6,"Jogosult igényelni","Nem jogosult igényelni"),"")</f>
        <v/>
      </c>
      <c r="AA96" s="11" t="str">
        <f t="shared" si="47"/>
        <v/>
      </c>
      <c r="AB96" s="11" t="str">
        <f t="shared" si="48"/>
        <v/>
      </c>
      <c r="AC96" s="11" t="str">
        <f t="shared" si="49"/>
        <v/>
      </c>
      <c r="AD96" s="11" t="str">
        <f t="shared" si="50"/>
        <v/>
      </c>
      <c r="AE96" s="11" t="str">
        <f t="shared" si="51"/>
        <v/>
      </c>
      <c r="AF96" s="11" t="str">
        <f t="shared" si="52"/>
        <v/>
      </c>
      <c r="AG96" s="6" t="str">
        <f>IF(B96&lt;&gt;"",Segédlet!N92+Segédlet!O92+Segédlet!R92+AF96+AE96,"")</f>
        <v/>
      </c>
    </row>
    <row r="97" spans="1:33" s="7" customFormat="1" x14ac:dyDescent="0.2">
      <c r="A97" s="9" t="str">
        <f t="shared" si="53"/>
        <v xml:space="preserve"> </v>
      </c>
      <c r="B97" s="10"/>
      <c r="C97" s="18"/>
      <c r="D97" s="21" t="str">
        <f>IF(C97&lt;&gt;"",INDEX(Segédlet!$B$5:$B$37,MATCH(C97,Segédlet!$C$5:$C$37,0)),"")</f>
        <v/>
      </c>
      <c r="E97" s="19"/>
      <c r="F97" s="8"/>
      <c r="G97" s="5" t="str">
        <f t="shared" si="33"/>
        <v/>
      </c>
      <c r="H97" s="8" t="str">
        <f t="shared" si="34"/>
        <v/>
      </c>
      <c r="I97" s="8" t="str">
        <f t="shared" si="35"/>
        <v/>
      </c>
      <c r="J97" s="8" t="str">
        <f t="shared" si="42"/>
        <v/>
      </c>
      <c r="K97" s="8" t="str">
        <f t="shared" si="43"/>
        <v/>
      </c>
      <c r="L97" s="8" t="str">
        <f t="shared" si="44"/>
        <v/>
      </c>
      <c r="M97" s="8" t="str">
        <f t="shared" si="45"/>
        <v/>
      </c>
      <c r="N97" s="11"/>
      <c r="O97" s="11" t="str">
        <f t="shared" si="36"/>
        <v/>
      </c>
      <c r="P97" s="20"/>
      <c r="Q97" s="6" t="str">
        <f>IF(B97&lt;&gt;"",IF(AND(I97&gt;0,U97&gt;0),(N97+K97-I97)*VLOOKUP(P97,Segédlet!$I$5:$J$12,2,0),(N97+K97)*VLOOKUP(P97,Segédlet!$I$5:$J$12,2,0)),"")</f>
        <v/>
      </c>
      <c r="R97" s="6" t="str">
        <f>IF(B97&lt;&gt;"",IF((L97+M97)&lt;=14,(L97+M97)*K97*VLOOKUP(C97,Segédlet!$C$5:$G$37,4,0),K97*14*VLOOKUP(C97,Segédlet!$C$5:$G$37,4,0)+((L97+M97)-14)*K97*VLOOKUP(C97,Segédlet!$C$5:$G$37,5,0)),"")</f>
        <v/>
      </c>
      <c r="S97" s="6" t="str">
        <f>IF(B97&lt;&gt;"",IF(G97&lt;=14,G97*N97*VLOOKUP(C97,Segédlet!$C$5:$G$37,2,0),N97*14*VLOOKUP(C97,Segédlet!$C$5:$G$37,2,0)+(G97-14)*N97*VLOOKUP(C97,Segédlet!$C$5:$G$37,3,0)),"")</f>
        <v/>
      </c>
      <c r="T97" s="12" t="str">
        <f t="shared" si="37"/>
        <v/>
      </c>
      <c r="U97" s="12" t="str">
        <f t="shared" si="38"/>
        <v/>
      </c>
      <c r="V97" s="12" t="str">
        <f t="shared" si="46"/>
        <v/>
      </c>
      <c r="W97" s="12" t="str">
        <f t="shared" si="39"/>
        <v/>
      </c>
      <c r="X97" s="51" t="str">
        <f t="shared" si="40"/>
        <v/>
      </c>
      <c r="Y97" s="22" t="str">
        <f t="shared" si="41"/>
        <v/>
      </c>
      <c r="Z97" s="126" t="str">
        <f>IF(B97&lt;&gt;"",IF(B97=Segédlet!$L$6,"Jogosult igényelni","Nem jogosult igényelni"),"")</f>
        <v/>
      </c>
      <c r="AA97" s="11" t="str">
        <f t="shared" si="47"/>
        <v/>
      </c>
      <c r="AB97" s="11" t="str">
        <f t="shared" si="48"/>
        <v/>
      </c>
      <c r="AC97" s="11" t="str">
        <f t="shared" si="49"/>
        <v/>
      </c>
      <c r="AD97" s="11" t="str">
        <f t="shared" si="50"/>
        <v/>
      </c>
      <c r="AE97" s="11" t="str">
        <f t="shared" si="51"/>
        <v/>
      </c>
      <c r="AF97" s="11" t="str">
        <f t="shared" si="52"/>
        <v/>
      </c>
      <c r="AG97" s="6" t="str">
        <f>IF(B97&lt;&gt;"",Segédlet!N93+Segédlet!O93+Segédlet!R93+AF97+AE97,"")</f>
        <v/>
      </c>
    </row>
    <row r="98" spans="1:33" s="7" customFormat="1" x14ac:dyDescent="0.2">
      <c r="A98" s="9" t="str">
        <f t="shared" si="53"/>
        <v xml:space="preserve"> </v>
      </c>
      <c r="B98" s="10"/>
      <c r="C98" s="18"/>
      <c r="D98" s="21" t="str">
        <f>IF(C98&lt;&gt;"",INDEX(Segédlet!$B$5:$B$37,MATCH(C98,Segédlet!$C$5:$C$37,0)),"")</f>
        <v/>
      </c>
      <c r="E98" s="19"/>
      <c r="F98" s="8"/>
      <c r="G98" s="5" t="str">
        <f t="shared" si="33"/>
        <v/>
      </c>
      <c r="H98" s="8" t="str">
        <f t="shared" si="34"/>
        <v/>
      </c>
      <c r="I98" s="8" t="str">
        <f t="shared" si="35"/>
        <v/>
      </c>
      <c r="J98" s="8" t="str">
        <f t="shared" si="42"/>
        <v/>
      </c>
      <c r="K98" s="8" t="str">
        <f t="shared" si="43"/>
        <v/>
      </c>
      <c r="L98" s="8" t="str">
        <f t="shared" si="44"/>
        <v/>
      </c>
      <c r="M98" s="8" t="str">
        <f t="shared" si="45"/>
        <v/>
      </c>
      <c r="N98" s="11"/>
      <c r="O98" s="11" t="str">
        <f t="shared" si="36"/>
        <v/>
      </c>
      <c r="P98" s="20"/>
      <c r="Q98" s="6" t="str">
        <f>IF(B98&lt;&gt;"",IF(AND(I98&gt;0,U98&gt;0),(N98+K98-I98)*VLOOKUP(P98,Segédlet!$I$5:$J$12,2,0),(N98+K98)*VLOOKUP(P98,Segédlet!$I$5:$J$12,2,0)),"")</f>
        <v/>
      </c>
      <c r="R98" s="6" t="str">
        <f>IF(B98&lt;&gt;"",IF((L98+M98)&lt;=14,(L98+M98)*K98*VLOOKUP(C98,Segédlet!$C$5:$G$37,4,0),K98*14*VLOOKUP(C98,Segédlet!$C$5:$G$37,4,0)+((L98+M98)-14)*K98*VLOOKUP(C98,Segédlet!$C$5:$G$37,5,0)),"")</f>
        <v/>
      </c>
      <c r="S98" s="6" t="str">
        <f>IF(B98&lt;&gt;"",IF(G98&lt;=14,G98*N98*VLOOKUP(C98,Segédlet!$C$5:$G$37,2,0),N98*14*VLOOKUP(C98,Segédlet!$C$5:$G$37,2,0)+(G98-14)*N98*VLOOKUP(C98,Segédlet!$C$5:$G$37,3,0)),"")</f>
        <v/>
      </c>
      <c r="T98" s="12" t="str">
        <f t="shared" si="37"/>
        <v/>
      </c>
      <c r="U98" s="12" t="str">
        <f t="shared" si="38"/>
        <v/>
      </c>
      <c r="V98" s="12" t="str">
        <f t="shared" si="46"/>
        <v/>
      </c>
      <c r="W98" s="12" t="str">
        <f t="shared" si="39"/>
        <v/>
      </c>
      <c r="X98" s="51" t="str">
        <f t="shared" si="40"/>
        <v/>
      </c>
      <c r="Y98" s="22" t="str">
        <f t="shared" si="41"/>
        <v/>
      </c>
      <c r="Z98" s="126" t="str">
        <f>IF(B98&lt;&gt;"",IF(B98=Segédlet!$L$6,"Jogosult igényelni","Nem jogosult igényelni"),"")</f>
        <v/>
      </c>
      <c r="AA98" s="11" t="str">
        <f t="shared" si="47"/>
        <v/>
      </c>
      <c r="AB98" s="11" t="str">
        <f t="shared" si="48"/>
        <v/>
      </c>
      <c r="AC98" s="11" t="str">
        <f t="shared" si="49"/>
        <v/>
      </c>
      <c r="AD98" s="11" t="str">
        <f t="shared" si="50"/>
        <v/>
      </c>
      <c r="AE98" s="11" t="str">
        <f t="shared" si="51"/>
        <v/>
      </c>
      <c r="AF98" s="11" t="str">
        <f t="shared" si="52"/>
        <v/>
      </c>
      <c r="AG98" s="6" t="str">
        <f>IF(B98&lt;&gt;"",Segédlet!N94+Segédlet!O94+Segédlet!R94+AF98+AE98,"")</f>
        <v/>
      </c>
    </row>
    <row r="99" spans="1:33" s="7" customFormat="1" x14ac:dyDescent="0.2">
      <c r="A99" s="9" t="str">
        <f t="shared" si="53"/>
        <v xml:space="preserve"> </v>
      </c>
      <c r="B99" s="10"/>
      <c r="C99" s="18"/>
      <c r="D99" s="21" t="str">
        <f>IF(C99&lt;&gt;"",INDEX(Segédlet!$B$5:$B$37,MATCH(C99,Segédlet!$C$5:$C$37,0)),"")</f>
        <v/>
      </c>
      <c r="E99" s="19"/>
      <c r="F99" s="8"/>
      <c r="G99" s="5" t="str">
        <f t="shared" si="33"/>
        <v/>
      </c>
      <c r="H99" s="8" t="str">
        <f t="shared" si="34"/>
        <v/>
      </c>
      <c r="I99" s="8" t="str">
        <f t="shared" si="35"/>
        <v/>
      </c>
      <c r="J99" s="8" t="str">
        <f t="shared" si="42"/>
        <v/>
      </c>
      <c r="K99" s="8" t="str">
        <f t="shared" si="43"/>
        <v/>
      </c>
      <c r="L99" s="8" t="str">
        <f t="shared" si="44"/>
        <v/>
      </c>
      <c r="M99" s="8" t="str">
        <f t="shared" si="45"/>
        <v/>
      </c>
      <c r="N99" s="11"/>
      <c r="O99" s="11" t="str">
        <f t="shared" si="36"/>
        <v/>
      </c>
      <c r="P99" s="20"/>
      <c r="Q99" s="6" t="str">
        <f>IF(B99&lt;&gt;"",IF(AND(I99&gt;0,U99&gt;0),(N99+K99-I99)*VLOOKUP(P99,Segédlet!$I$5:$J$12,2,0),(N99+K99)*VLOOKUP(P99,Segédlet!$I$5:$J$12,2,0)),"")</f>
        <v/>
      </c>
      <c r="R99" s="6" t="str">
        <f>IF(B99&lt;&gt;"",IF((L99+M99)&lt;=14,(L99+M99)*K99*VLOOKUP(C99,Segédlet!$C$5:$G$37,4,0),K99*14*VLOOKUP(C99,Segédlet!$C$5:$G$37,4,0)+((L99+M99)-14)*K99*VLOOKUP(C99,Segédlet!$C$5:$G$37,5,0)),"")</f>
        <v/>
      </c>
      <c r="S99" s="6" t="str">
        <f>IF(B99&lt;&gt;"",IF(G99&lt;=14,G99*N99*VLOOKUP(C99,Segédlet!$C$5:$G$37,2,0),N99*14*VLOOKUP(C99,Segédlet!$C$5:$G$37,2,0)+(G99-14)*N99*VLOOKUP(C99,Segédlet!$C$5:$G$37,3,0)),"")</f>
        <v/>
      </c>
      <c r="T99" s="12" t="str">
        <f t="shared" si="37"/>
        <v/>
      </c>
      <c r="U99" s="12" t="str">
        <f t="shared" si="38"/>
        <v/>
      </c>
      <c r="V99" s="12" t="str">
        <f t="shared" si="46"/>
        <v/>
      </c>
      <c r="W99" s="12" t="str">
        <f t="shared" si="39"/>
        <v/>
      </c>
      <c r="X99" s="51" t="str">
        <f t="shared" si="40"/>
        <v/>
      </c>
      <c r="Y99" s="22" t="str">
        <f t="shared" si="41"/>
        <v/>
      </c>
      <c r="Z99" s="126" t="str">
        <f>IF(B99&lt;&gt;"",IF(B99=Segédlet!$L$6,"Jogosult igényelni","Nem jogosult igényelni"),"")</f>
        <v/>
      </c>
      <c r="AA99" s="11" t="str">
        <f t="shared" si="47"/>
        <v/>
      </c>
      <c r="AB99" s="11" t="str">
        <f t="shared" si="48"/>
        <v/>
      </c>
      <c r="AC99" s="11" t="str">
        <f t="shared" si="49"/>
        <v/>
      </c>
      <c r="AD99" s="11" t="str">
        <f t="shared" si="50"/>
        <v/>
      </c>
      <c r="AE99" s="11" t="str">
        <f t="shared" si="51"/>
        <v/>
      </c>
      <c r="AF99" s="11" t="str">
        <f t="shared" si="52"/>
        <v/>
      </c>
      <c r="AG99" s="6" t="str">
        <f>IF(B99&lt;&gt;"",Segédlet!N95+Segédlet!O95+Segédlet!R95+AF99+AE99,"")</f>
        <v/>
      </c>
    </row>
    <row r="100" spans="1:33" s="7" customFormat="1" x14ac:dyDescent="0.2">
      <c r="A100" s="9" t="str">
        <f t="shared" si="53"/>
        <v xml:space="preserve"> </v>
      </c>
      <c r="B100" s="10"/>
      <c r="C100" s="18"/>
      <c r="D100" s="21" t="str">
        <f>IF(C100&lt;&gt;"",INDEX(Segédlet!$B$5:$B$37,MATCH(C100,Segédlet!$C$5:$C$37,0)),"")</f>
        <v/>
      </c>
      <c r="E100" s="19"/>
      <c r="F100" s="8"/>
      <c r="G100" s="5" t="str">
        <f t="shared" si="33"/>
        <v/>
      </c>
      <c r="H100" s="8" t="str">
        <f t="shared" si="34"/>
        <v/>
      </c>
      <c r="I100" s="8" t="str">
        <f t="shared" si="35"/>
        <v/>
      </c>
      <c r="J100" s="8" t="str">
        <f t="shared" si="42"/>
        <v/>
      </c>
      <c r="K100" s="8" t="str">
        <f t="shared" si="43"/>
        <v/>
      </c>
      <c r="L100" s="8" t="str">
        <f t="shared" si="44"/>
        <v/>
      </c>
      <c r="M100" s="8" t="str">
        <f t="shared" si="45"/>
        <v/>
      </c>
      <c r="N100" s="11"/>
      <c r="O100" s="11" t="str">
        <f t="shared" si="36"/>
        <v/>
      </c>
      <c r="P100" s="20"/>
      <c r="Q100" s="6" t="str">
        <f>IF(B100&lt;&gt;"",IF(AND(I100&gt;0,U100&gt;0),(N100+K100-I100)*VLOOKUP(P100,Segédlet!$I$5:$J$12,2,0),(N100+K100)*VLOOKUP(P100,Segédlet!$I$5:$J$12,2,0)),"")</f>
        <v/>
      </c>
      <c r="R100" s="6" t="str">
        <f>IF(B100&lt;&gt;"",IF((L100+M100)&lt;=14,(L100+M100)*K100*VLOOKUP(C100,Segédlet!$C$5:$G$37,4,0),K100*14*VLOOKUP(C100,Segédlet!$C$5:$G$37,4,0)+((L100+M100)-14)*K100*VLOOKUP(C100,Segédlet!$C$5:$G$37,5,0)),"")</f>
        <v/>
      </c>
      <c r="S100" s="6" t="str">
        <f>IF(B100&lt;&gt;"",IF(G100&lt;=14,G100*N100*VLOOKUP(C100,Segédlet!$C$5:$G$37,2,0),N100*14*VLOOKUP(C100,Segédlet!$C$5:$G$37,2,0)+(G100-14)*N100*VLOOKUP(C100,Segédlet!$C$5:$G$37,3,0)),"")</f>
        <v/>
      </c>
      <c r="T100" s="12" t="str">
        <f t="shared" si="37"/>
        <v/>
      </c>
      <c r="U100" s="12" t="str">
        <f t="shared" si="38"/>
        <v/>
      </c>
      <c r="V100" s="12" t="str">
        <f t="shared" si="46"/>
        <v/>
      </c>
      <c r="W100" s="12" t="str">
        <f t="shared" si="39"/>
        <v/>
      </c>
      <c r="X100" s="51" t="str">
        <f t="shared" si="40"/>
        <v/>
      </c>
      <c r="Y100" s="22" t="str">
        <f t="shared" si="41"/>
        <v/>
      </c>
      <c r="Z100" s="126" t="str">
        <f>IF(B100&lt;&gt;"",IF(B100=Segédlet!$L$6,"Jogosult igényelni","Nem jogosult igényelni"),"")</f>
        <v/>
      </c>
      <c r="AA100" s="11" t="str">
        <f t="shared" si="47"/>
        <v/>
      </c>
      <c r="AB100" s="11" t="str">
        <f t="shared" si="48"/>
        <v/>
      </c>
      <c r="AC100" s="11" t="str">
        <f t="shared" si="49"/>
        <v/>
      </c>
      <c r="AD100" s="11" t="str">
        <f t="shared" si="50"/>
        <v/>
      </c>
      <c r="AE100" s="11" t="str">
        <f t="shared" si="51"/>
        <v/>
      </c>
      <c r="AF100" s="11" t="str">
        <f t="shared" si="52"/>
        <v/>
      </c>
      <c r="AG100" s="6" t="str">
        <f>IF(B100&lt;&gt;"",Segédlet!N96+Segédlet!O96+Segédlet!R96+AF100+AE100,"")</f>
        <v/>
      </c>
    </row>
    <row r="101" spans="1:33" x14ac:dyDescent="0.2">
      <c r="A101" s="9" t="str">
        <f t="shared" si="53"/>
        <v xml:space="preserve"> </v>
      </c>
      <c r="B101" s="10"/>
      <c r="C101" s="18"/>
      <c r="D101" s="21" t="str">
        <f>IF(C101&lt;&gt;"",INDEX(Segédlet!$B$5:$B$37,MATCH(C101,Segédlet!$C$5:$C$37,0)),"")</f>
        <v/>
      </c>
      <c r="E101" s="19"/>
      <c r="F101" s="8"/>
      <c r="G101" s="5" t="str">
        <f t="shared" si="33"/>
        <v/>
      </c>
      <c r="H101" s="8" t="str">
        <f t="shared" si="34"/>
        <v/>
      </c>
      <c r="I101" s="8" t="str">
        <f t="shared" si="35"/>
        <v/>
      </c>
      <c r="J101" s="8" t="str">
        <f t="shared" si="42"/>
        <v/>
      </c>
      <c r="K101" s="8" t="str">
        <f t="shared" si="43"/>
        <v/>
      </c>
      <c r="L101" s="8" t="str">
        <f t="shared" si="44"/>
        <v/>
      </c>
      <c r="M101" s="8" t="str">
        <f t="shared" si="45"/>
        <v/>
      </c>
      <c r="N101" s="11"/>
      <c r="O101" s="11" t="str">
        <f t="shared" si="36"/>
        <v/>
      </c>
      <c r="P101" s="20"/>
      <c r="Q101" s="6" t="str">
        <f>IF(B101&lt;&gt;"",IF(AND(I101&gt;0,U101&gt;0),(N101+K101-I101)*VLOOKUP(P101,Segédlet!$I$5:$J$12,2,0),(N101+K101)*VLOOKUP(P101,Segédlet!$I$5:$J$12,2,0)),"")</f>
        <v/>
      </c>
      <c r="R101" s="6" t="str">
        <f>IF(B101&lt;&gt;"",IF((L101+M101)&lt;=14,(L101+M101)*K101*VLOOKUP(C101,Segédlet!$C$5:$G$37,4,0),K101*14*VLOOKUP(C101,Segédlet!$C$5:$G$37,4,0)+((L101+M101)-14)*K101*VLOOKUP(C101,Segédlet!$C$5:$G$37,5,0)),"")</f>
        <v/>
      </c>
      <c r="S101" s="6" t="str">
        <f>IF(B101&lt;&gt;"",IF(G101&lt;=14,G101*N101*VLOOKUP(C101,Segédlet!$C$5:$G$37,2,0),N101*14*VLOOKUP(C101,Segédlet!$C$5:$G$37,2,0)+(G101-14)*N101*VLOOKUP(C101,Segédlet!$C$5:$G$37,3,0)),"")</f>
        <v/>
      </c>
      <c r="T101" s="12" t="str">
        <f t="shared" si="37"/>
        <v/>
      </c>
      <c r="U101" s="12" t="str">
        <f t="shared" si="38"/>
        <v/>
      </c>
      <c r="V101" s="12" t="str">
        <f t="shared" si="46"/>
        <v/>
      </c>
      <c r="W101" s="12" t="str">
        <f t="shared" si="39"/>
        <v/>
      </c>
      <c r="X101" s="51" t="str">
        <f t="shared" si="40"/>
        <v/>
      </c>
      <c r="Y101" s="22" t="str">
        <f t="shared" si="41"/>
        <v/>
      </c>
      <c r="Z101" s="126" t="str">
        <f>IF(B101&lt;&gt;"",IF(B101=Segédlet!$L$6,"Jogosult igényelni","Nem jogosult igényelni"),"")</f>
        <v/>
      </c>
      <c r="AA101" s="11" t="str">
        <f t="shared" si="47"/>
        <v/>
      </c>
      <c r="AB101" s="11" t="str">
        <f t="shared" si="48"/>
        <v/>
      </c>
      <c r="AC101" s="11" t="str">
        <f t="shared" si="49"/>
        <v/>
      </c>
      <c r="AD101" s="11" t="str">
        <f t="shared" si="50"/>
        <v/>
      </c>
      <c r="AE101" s="11" t="str">
        <f t="shared" si="51"/>
        <v/>
      </c>
      <c r="AF101" s="11" t="str">
        <f t="shared" si="52"/>
        <v/>
      </c>
      <c r="AG101" s="6" t="str">
        <f>IF(B101&lt;&gt;"",Segédlet!N97+Segédlet!O97+Segédlet!R97+AF101+AE101,"")</f>
        <v/>
      </c>
    </row>
    <row r="102" spans="1:33" x14ac:dyDescent="0.2">
      <c r="A102" s="9" t="str">
        <f t="shared" si="53"/>
        <v xml:space="preserve"> </v>
      </c>
      <c r="B102" s="10"/>
      <c r="C102" s="18"/>
      <c r="D102" s="21" t="str">
        <f>IF(C102&lt;&gt;"",INDEX(Segédlet!$B$5:$B$37,MATCH(C102,Segédlet!$C$5:$C$37,0)),"")</f>
        <v/>
      </c>
      <c r="E102" s="19"/>
      <c r="F102" s="8"/>
      <c r="G102" s="5" t="str">
        <f t="shared" si="33"/>
        <v/>
      </c>
      <c r="H102" s="8" t="str">
        <f t="shared" si="34"/>
        <v/>
      </c>
      <c r="I102" s="8" t="str">
        <f t="shared" si="35"/>
        <v/>
      </c>
      <c r="J102" s="8" t="str">
        <f t="shared" si="42"/>
        <v/>
      </c>
      <c r="K102" s="8" t="str">
        <f t="shared" si="43"/>
        <v/>
      </c>
      <c r="L102" s="8" t="str">
        <f t="shared" si="44"/>
        <v/>
      </c>
      <c r="M102" s="8" t="str">
        <f t="shared" si="45"/>
        <v/>
      </c>
      <c r="N102" s="11"/>
      <c r="O102" s="11" t="str">
        <f t="shared" si="36"/>
        <v/>
      </c>
      <c r="P102" s="20"/>
      <c r="Q102" s="6" t="str">
        <f>IF(B102&lt;&gt;"",IF(AND(I102&gt;0,U102&gt;0),(N102+K102-I102)*VLOOKUP(P102,Segédlet!$I$5:$J$12,2,0),(N102+K102)*VLOOKUP(P102,Segédlet!$I$5:$J$12,2,0)),"")</f>
        <v/>
      </c>
      <c r="R102" s="6" t="str">
        <f>IF(B102&lt;&gt;"",IF((L102+M102)&lt;=14,(L102+M102)*K102*VLOOKUP(C102,Segédlet!$C$5:$G$37,4,0),K102*14*VLOOKUP(C102,Segédlet!$C$5:$G$37,4,0)+((L102+M102)-14)*K102*VLOOKUP(C102,Segédlet!$C$5:$G$37,5,0)),"")</f>
        <v/>
      </c>
      <c r="S102" s="6" t="str">
        <f>IF(B102&lt;&gt;"",IF(G102&lt;=14,G102*N102*VLOOKUP(C102,Segédlet!$C$5:$G$37,2,0),N102*14*VLOOKUP(C102,Segédlet!$C$5:$G$37,2,0)+(G102-14)*N102*VLOOKUP(C102,Segédlet!$C$5:$G$37,3,0)),"")</f>
        <v/>
      </c>
      <c r="T102" s="12" t="str">
        <f t="shared" si="37"/>
        <v/>
      </c>
      <c r="U102" s="12" t="str">
        <f t="shared" si="38"/>
        <v/>
      </c>
      <c r="V102" s="12" t="str">
        <f t="shared" si="46"/>
        <v/>
      </c>
      <c r="W102" s="12" t="str">
        <f t="shared" si="39"/>
        <v/>
      </c>
      <c r="X102" s="51" t="str">
        <f t="shared" si="40"/>
        <v/>
      </c>
      <c r="Y102" s="22" t="str">
        <f t="shared" si="41"/>
        <v/>
      </c>
      <c r="Z102" s="126" t="str">
        <f>IF(B102&lt;&gt;"",IF(B102=Segédlet!$L$6,"Jogosult igényelni","Nem jogosult igényelni"),"")</f>
        <v/>
      </c>
      <c r="AA102" s="11" t="str">
        <f t="shared" si="47"/>
        <v/>
      </c>
      <c r="AB102" s="11" t="str">
        <f t="shared" si="48"/>
        <v/>
      </c>
      <c r="AC102" s="11" t="str">
        <f t="shared" si="49"/>
        <v/>
      </c>
      <c r="AD102" s="11" t="str">
        <f t="shared" si="50"/>
        <v/>
      </c>
      <c r="AE102" s="11" t="str">
        <f t="shared" si="51"/>
        <v/>
      </c>
      <c r="AF102" s="11" t="str">
        <f t="shared" si="52"/>
        <v/>
      </c>
      <c r="AG102" s="6" t="str">
        <f>IF(B102&lt;&gt;"",Segédlet!N98+Segédlet!O98+Segédlet!R98+AF102+AE102,"")</f>
        <v/>
      </c>
    </row>
    <row r="103" spans="1:33" x14ac:dyDescent="0.2">
      <c r="A103" s="9" t="str">
        <f t="shared" si="53"/>
        <v xml:space="preserve"> </v>
      </c>
      <c r="B103" s="10"/>
      <c r="C103" s="18"/>
      <c r="D103" s="21" t="str">
        <f>IF(C103&lt;&gt;"",INDEX(Segédlet!$B$5:$B$37,MATCH(C103,Segédlet!$C$5:$C$37,0)),"")</f>
        <v/>
      </c>
      <c r="E103" s="19"/>
      <c r="F103" s="8"/>
      <c r="G103" s="5" t="str">
        <f>IF(B103&lt;&gt;"",E103+F103,"")</f>
        <v/>
      </c>
      <c r="H103" s="8" t="str">
        <f t="shared" si="34"/>
        <v/>
      </c>
      <c r="I103" s="8" t="str">
        <f t="shared" si="35"/>
        <v/>
      </c>
      <c r="J103" s="8" t="str">
        <f t="shared" si="42"/>
        <v/>
      </c>
      <c r="K103" s="8" t="str">
        <f t="shared" si="43"/>
        <v/>
      </c>
      <c r="L103" s="8" t="str">
        <f t="shared" si="44"/>
        <v/>
      </c>
      <c r="M103" s="8" t="str">
        <f t="shared" si="45"/>
        <v/>
      </c>
      <c r="N103" s="11"/>
      <c r="O103" s="11" t="str">
        <f t="shared" si="36"/>
        <v/>
      </c>
      <c r="P103" s="20"/>
      <c r="Q103" s="6" t="str">
        <f>IF(B103&lt;&gt;"",IF(AND(I103&gt;0,U103&gt;0),(N103+K103-I103)*VLOOKUP(P103,Segédlet!$I$5:$J$12,2,0),(N103+K103)*VLOOKUP(P103,Segédlet!$I$5:$J$12,2,0)),"")</f>
        <v/>
      </c>
      <c r="R103" s="6" t="str">
        <f>IF(B103&lt;&gt;"",IF((L103+M103)&lt;=14,(L103+M103)*K103*VLOOKUP(C103,Segédlet!$C$5:$G$37,4,0),K103*14*VLOOKUP(C103,Segédlet!$C$5:$G$37,4,0)+((L103+M103)-14)*K103*VLOOKUP(C103,Segédlet!$C$5:$G$37,5,0)),"")</f>
        <v/>
      </c>
      <c r="S103" s="6" t="str">
        <f>IF(B103&lt;&gt;"",IF(G103&lt;=14,G103*N103*VLOOKUP(C103,Segédlet!$C$5:$G$37,2,0),N103*14*VLOOKUP(C103,Segédlet!$C$5:$G$37,2,0)+(G103-14)*N103*VLOOKUP(C103,Segédlet!$C$5:$G$37,3,0)),"")</f>
        <v/>
      </c>
      <c r="T103" s="12" t="str">
        <f t="shared" si="37"/>
        <v/>
      </c>
      <c r="U103" s="12" t="str">
        <f t="shared" si="38"/>
        <v/>
      </c>
      <c r="V103" s="12" t="str">
        <f t="shared" si="46"/>
        <v/>
      </c>
      <c r="W103" s="12" t="str">
        <f t="shared" si="39"/>
        <v/>
      </c>
      <c r="X103" s="51" t="str">
        <f t="shared" ref="X103:X106" si="54">IF(B103&lt;&gt;"",W103*150,"")</f>
        <v/>
      </c>
      <c r="Y103" s="22" t="str">
        <f t="shared" si="41"/>
        <v/>
      </c>
      <c r="Z103" s="126" t="str">
        <f>IF(B103&lt;&gt;"",IF(B103=Segédlet!$L$6,"Jogosult igényelni","Nem jogosult igényelni"),"")</f>
        <v/>
      </c>
      <c r="AA103" s="11" t="str">
        <f t="shared" si="47"/>
        <v/>
      </c>
      <c r="AB103" s="11" t="str">
        <f t="shared" si="48"/>
        <v/>
      </c>
      <c r="AC103" s="11" t="str">
        <f t="shared" si="49"/>
        <v/>
      </c>
      <c r="AD103" s="11" t="str">
        <f t="shared" si="50"/>
        <v/>
      </c>
      <c r="AE103" s="11" t="str">
        <f t="shared" si="51"/>
        <v/>
      </c>
      <c r="AF103" s="11" t="str">
        <f t="shared" si="52"/>
        <v/>
      </c>
      <c r="AG103" s="6" t="str">
        <f>IF(B103&lt;&gt;"",Segédlet!N99+Segédlet!O99+Segédlet!R99+AF103+AE103,"")</f>
        <v/>
      </c>
    </row>
    <row r="104" spans="1:33" x14ac:dyDescent="0.2">
      <c r="A104" s="9" t="str">
        <f t="shared" si="53"/>
        <v xml:space="preserve"> </v>
      </c>
      <c r="B104" s="10"/>
      <c r="C104" s="18"/>
      <c r="D104" s="21" t="str">
        <f>IF(C104&lt;&gt;"",INDEX(Segédlet!$B$5:$B$37,MATCH(C104,Segédlet!$C$5:$C$37,0)),"")</f>
        <v/>
      </c>
      <c r="E104" s="19"/>
      <c r="F104" s="8"/>
      <c r="G104" s="5" t="str">
        <f>IF(B104&lt;&gt;"",E104+F104,"")</f>
        <v/>
      </c>
      <c r="H104" s="8" t="str">
        <f t="shared" si="34"/>
        <v/>
      </c>
      <c r="I104" s="8" t="str">
        <f t="shared" si="35"/>
        <v/>
      </c>
      <c r="J104" s="8" t="str">
        <f t="shared" si="42"/>
        <v/>
      </c>
      <c r="K104" s="8" t="str">
        <f t="shared" si="43"/>
        <v/>
      </c>
      <c r="L104" s="8" t="str">
        <f t="shared" si="44"/>
        <v/>
      </c>
      <c r="M104" s="8" t="str">
        <f t="shared" si="45"/>
        <v/>
      </c>
      <c r="N104" s="11"/>
      <c r="O104" s="11" t="str">
        <f t="shared" si="36"/>
        <v/>
      </c>
      <c r="P104" s="20"/>
      <c r="Q104" s="6" t="str">
        <f>IF(B104&lt;&gt;"",IF(AND(I104&gt;0,U104&gt;0),(N104+K104-I104)*VLOOKUP(P104,Segédlet!$I$5:$J$12,2,0),(N104+K104)*VLOOKUP(P104,Segédlet!$I$5:$J$12,2,0)),"")</f>
        <v/>
      </c>
      <c r="R104" s="6" t="str">
        <f>IF(B104&lt;&gt;"",IF((L104+M104)&lt;=14,(L104+M104)*K104*VLOOKUP(C104,Segédlet!$C$5:$G$37,4,0),K104*14*VLOOKUP(C104,Segédlet!$C$5:$G$37,4,0)+((L104+M104)-14)*K104*VLOOKUP(C104,Segédlet!$C$5:$G$37,5,0)),"")</f>
        <v/>
      </c>
      <c r="S104" s="6" t="str">
        <f>IF(B104&lt;&gt;"",IF(G104&lt;=14,G104*N104*VLOOKUP(C104,Segédlet!$C$5:$G$37,2,0),N104*14*VLOOKUP(C104,Segédlet!$C$5:$G$37,2,0)+(G104-14)*N104*VLOOKUP(C104,Segédlet!$C$5:$G$37,3,0)),"")</f>
        <v/>
      </c>
      <c r="T104" s="12" t="str">
        <f t="shared" si="37"/>
        <v/>
      </c>
      <c r="U104" s="12" t="str">
        <f t="shared" si="38"/>
        <v/>
      </c>
      <c r="V104" s="12" t="str">
        <f t="shared" si="46"/>
        <v/>
      </c>
      <c r="W104" s="12" t="str">
        <f t="shared" si="39"/>
        <v/>
      </c>
      <c r="X104" s="51" t="str">
        <f t="shared" si="54"/>
        <v/>
      </c>
      <c r="Y104" s="22" t="str">
        <f t="shared" si="41"/>
        <v/>
      </c>
      <c r="Z104" s="126" t="str">
        <f>IF(B104&lt;&gt;"",IF(B104=Segédlet!$L$6,"Jogosult igényelni","Nem jogosult igényelni"),"")</f>
        <v/>
      </c>
      <c r="AA104" s="11" t="str">
        <f t="shared" si="47"/>
        <v/>
      </c>
      <c r="AB104" s="11" t="str">
        <f t="shared" si="48"/>
        <v/>
      </c>
      <c r="AC104" s="11" t="str">
        <f t="shared" si="49"/>
        <v/>
      </c>
      <c r="AD104" s="11" t="str">
        <f t="shared" si="50"/>
        <v/>
      </c>
      <c r="AE104" s="11" t="str">
        <f t="shared" si="51"/>
        <v/>
      </c>
      <c r="AF104" s="11" t="str">
        <f t="shared" si="52"/>
        <v/>
      </c>
      <c r="AG104" s="6" t="str">
        <f>IF(B104&lt;&gt;"",Segédlet!N100+Segédlet!O100+Segédlet!R100+AF104+AE104,"")</f>
        <v/>
      </c>
    </row>
    <row r="105" spans="1:33" x14ac:dyDescent="0.2">
      <c r="A105" s="9" t="str">
        <f t="shared" si="53"/>
        <v xml:space="preserve"> </v>
      </c>
      <c r="B105" s="10"/>
      <c r="C105" s="18"/>
      <c r="D105" s="21" t="str">
        <f>IF(C105&lt;&gt;"",INDEX(Segédlet!$B$5:$B$37,MATCH(C105,Segédlet!$C$5:$C$37,0)),"")</f>
        <v/>
      </c>
      <c r="E105" s="19"/>
      <c r="F105" s="8"/>
      <c r="G105" s="5" t="str">
        <f>IF(B105&lt;&gt;"",E105+F105,"")</f>
        <v/>
      </c>
      <c r="H105" s="8" t="str">
        <f t="shared" si="34"/>
        <v/>
      </c>
      <c r="I105" s="8" t="str">
        <f t="shared" si="35"/>
        <v/>
      </c>
      <c r="J105" s="8" t="str">
        <f t="shared" si="42"/>
        <v/>
      </c>
      <c r="K105" s="8" t="str">
        <f t="shared" si="43"/>
        <v/>
      </c>
      <c r="L105" s="8" t="str">
        <f t="shared" si="44"/>
        <v/>
      </c>
      <c r="M105" s="8" t="str">
        <f t="shared" si="45"/>
        <v/>
      </c>
      <c r="N105" s="11"/>
      <c r="O105" s="11" t="str">
        <f t="shared" si="36"/>
        <v/>
      </c>
      <c r="P105" s="20"/>
      <c r="Q105" s="6" t="str">
        <f>IF(B105&lt;&gt;"",IF(AND(I105&gt;0,U105&gt;0),(N105+K105-I105)*VLOOKUP(P105,Segédlet!$I$5:$J$12,2,0),(N105+K105)*VLOOKUP(P105,Segédlet!$I$5:$J$12,2,0)),"")</f>
        <v/>
      </c>
      <c r="R105" s="6" t="str">
        <f>IF(B105&lt;&gt;"",IF((L105+M105)&lt;=14,(L105+M105)*K105*VLOOKUP(C105,Segédlet!$C$5:$G$37,4,0),K105*14*VLOOKUP(C105,Segédlet!$C$5:$G$37,4,0)+((L105+M105)-14)*K105*VLOOKUP(C105,Segédlet!$C$5:$G$37,5,0)),"")</f>
        <v/>
      </c>
      <c r="S105" s="6" t="str">
        <f>IF(B105&lt;&gt;"",IF(G105&lt;=14,G105*N105*VLOOKUP(C105,Segédlet!$C$5:$G$37,2,0),N105*14*VLOOKUP(C105,Segédlet!$C$5:$G$37,2,0)+(G105-14)*N105*VLOOKUP(C105,Segédlet!$C$5:$G$37,3,0)),"")</f>
        <v/>
      </c>
      <c r="T105" s="12" t="str">
        <f t="shared" si="37"/>
        <v/>
      </c>
      <c r="U105" s="12" t="str">
        <f t="shared" si="38"/>
        <v/>
      </c>
      <c r="V105" s="12" t="str">
        <f t="shared" si="46"/>
        <v/>
      </c>
      <c r="W105" s="12" t="str">
        <f t="shared" si="39"/>
        <v/>
      </c>
      <c r="X105" s="51" t="str">
        <f t="shared" si="54"/>
        <v/>
      </c>
      <c r="Y105" s="22" t="str">
        <f t="shared" si="41"/>
        <v/>
      </c>
      <c r="Z105" s="126" t="str">
        <f>IF(B105&lt;&gt;"",IF(B105=Segédlet!$L$6,"Jogosult igényelni","Nem jogosult igényelni"),"")</f>
        <v/>
      </c>
      <c r="AA105" s="11" t="str">
        <f t="shared" si="47"/>
        <v/>
      </c>
      <c r="AB105" s="11" t="str">
        <f t="shared" si="48"/>
        <v/>
      </c>
      <c r="AC105" s="11" t="str">
        <f t="shared" si="49"/>
        <v/>
      </c>
      <c r="AD105" s="11" t="str">
        <f t="shared" si="50"/>
        <v/>
      </c>
      <c r="AE105" s="11" t="str">
        <f t="shared" si="51"/>
        <v/>
      </c>
      <c r="AF105" s="11" t="str">
        <f t="shared" si="52"/>
        <v/>
      </c>
      <c r="AG105" s="6" t="str">
        <f>IF(B105&lt;&gt;"",Segédlet!N101+Segédlet!O101+Segédlet!R101+AF105+AE105,"")</f>
        <v/>
      </c>
    </row>
    <row r="106" spans="1:33" x14ac:dyDescent="0.2">
      <c r="A106" s="9" t="str">
        <f t="shared" si="53"/>
        <v xml:space="preserve"> </v>
      </c>
      <c r="B106" s="10"/>
      <c r="C106" s="18"/>
      <c r="D106" s="21" t="str">
        <f>IF(C106&lt;&gt;"",INDEX(Segédlet!$B$5:$B$37,MATCH(C106,Segédlet!$C$5:$C$37,0)),"")</f>
        <v/>
      </c>
      <c r="E106" s="19"/>
      <c r="F106" s="8"/>
      <c r="G106" s="5" t="str">
        <f>IF(B106&lt;&gt;"",E106+F106,"")</f>
        <v/>
      </c>
      <c r="H106" s="8" t="str">
        <f t="shared" si="34"/>
        <v/>
      </c>
      <c r="I106" s="8" t="str">
        <f t="shared" si="35"/>
        <v/>
      </c>
      <c r="J106" s="8" t="str">
        <f t="shared" si="42"/>
        <v/>
      </c>
      <c r="K106" s="8" t="str">
        <f t="shared" si="43"/>
        <v/>
      </c>
      <c r="L106" s="8" t="str">
        <f t="shared" si="44"/>
        <v/>
      </c>
      <c r="M106" s="8" t="str">
        <f t="shared" si="45"/>
        <v/>
      </c>
      <c r="N106" s="11"/>
      <c r="O106" s="11" t="str">
        <f t="shared" si="36"/>
        <v/>
      </c>
      <c r="P106" s="20"/>
      <c r="Q106" s="6" t="str">
        <f>IF(B106&lt;&gt;"",IF(AND(I106&gt;0,U106&gt;0),(N106+K106-I106)*VLOOKUP(P106,Segédlet!$I$5:$J$12,2,0),(N106+K106)*VLOOKUP(P106,Segédlet!$I$5:$J$12,2,0)),"")</f>
        <v/>
      </c>
      <c r="R106" s="6" t="str">
        <f>IF(B106&lt;&gt;"",IF((L106+M106)&lt;=14,(L106+M106)*K106*VLOOKUP(C106,Segédlet!$C$5:$G$37,4,0),K106*14*VLOOKUP(C106,Segédlet!$C$5:$G$37,4,0)+((L106+M106)-14)*K106*VLOOKUP(C106,Segédlet!$C$5:$G$37,5,0)),"")</f>
        <v/>
      </c>
      <c r="S106" s="6" t="str">
        <f>IF(B106&lt;&gt;"",IF(G106&lt;=14,G106*N106*VLOOKUP(C106,Segédlet!$C$5:$G$37,2,0),N106*14*VLOOKUP(C106,Segédlet!$C$5:$G$37,2,0)+(G106-14)*N106*VLOOKUP(C106,Segédlet!$C$5:$G$37,3,0)),"")</f>
        <v/>
      </c>
      <c r="T106" s="12" t="str">
        <f t="shared" si="37"/>
        <v/>
      </c>
      <c r="U106" s="12" t="str">
        <f t="shared" si="38"/>
        <v/>
      </c>
      <c r="V106" s="12" t="str">
        <f t="shared" si="46"/>
        <v/>
      </c>
      <c r="W106" s="12" t="str">
        <f t="shared" si="39"/>
        <v/>
      </c>
      <c r="X106" s="51" t="str">
        <f t="shared" si="54"/>
        <v/>
      </c>
      <c r="Y106" s="22" t="str">
        <f t="shared" si="41"/>
        <v/>
      </c>
      <c r="Z106" s="126" t="str">
        <f>IF(B106&lt;&gt;"",IF(B106=Segédlet!$L$6,"Jogosult igényelni","Nem jogosult igényelni"),"")</f>
        <v/>
      </c>
      <c r="AA106" s="11" t="str">
        <f t="shared" ref="AA106" si="55">IF(B106&lt;&gt;"",0,"")</f>
        <v/>
      </c>
      <c r="AB106" s="11" t="str">
        <f t="shared" ref="AB106" si="56">IF(B106&lt;&gt;"",0,"")</f>
        <v/>
      </c>
      <c r="AC106" s="11" t="str">
        <f t="shared" si="49"/>
        <v/>
      </c>
      <c r="AD106" s="11" t="str">
        <f t="shared" si="50"/>
        <v/>
      </c>
      <c r="AE106" s="11" t="str">
        <f t="shared" si="51"/>
        <v/>
      </c>
      <c r="AF106" s="11" t="str">
        <f t="shared" si="52"/>
        <v/>
      </c>
      <c r="AG106" s="6" t="str">
        <f>IF(B106&lt;&gt;"",Segédlet!N102+Segédlet!O102+Segédlet!R102+AF106+AE106,"")</f>
        <v/>
      </c>
    </row>
    <row r="115" ht="15.75" customHeight="1" x14ac:dyDescent="0.2"/>
    <row r="116" ht="15.75" customHeight="1" x14ac:dyDescent="0.2"/>
  </sheetData>
  <sheetProtection algorithmName="SHA-512" hashValue="kZyGXBB+5e168a+HC3bnEplqGgTpJhvmaOzoFhP2vrS7QNIPspS3rX0o+O0UNgB2GXULN2Wz1N2gbDRq53OG4Q==" saltValue="Ra88Yu3prwA3a4q3YuYEmg==" spinCount="100000" sheet="1" objects="1" scenarios="1"/>
  <mergeCells count="3">
    <mergeCell ref="A1:AB1"/>
    <mergeCell ref="A2:D4"/>
    <mergeCell ref="E2:T4"/>
  </mergeCells>
  <conditionalFormatting sqref="AF1:XFD1 A1:A2 Q113:R1048576 Q111:Q112 S5:Z5 S107:Z1048576 Q106:R110 AB107:XFD1048576 AB2:XFD5 E2 U2:Z4 AD6:XFD106 A5:P5 A107:P1048576 A6:J6 N6:Z6 AB7:AC106 A7:Z106">
    <cfRule type="notContainsBlanks" dxfId="34" priority="36">
      <formula>LEN(TRIM(A1))&gt;0</formula>
    </cfRule>
  </conditionalFormatting>
  <conditionalFormatting sqref="R106 I7:I106 AC7:AC106">
    <cfRule type="expression" dxfId="33" priority="21">
      <formula>AND(I7&lt;&gt;"",I7&gt;0)</formula>
    </cfRule>
  </conditionalFormatting>
  <conditionalFormatting sqref="H7:H106">
    <cfRule type="expression" dxfId="32" priority="20">
      <formula>AND(H7&lt;&gt;"",H7&gt;0)</formula>
    </cfRule>
  </conditionalFormatting>
  <conditionalFormatting sqref="J7:J106">
    <cfRule type="expression" dxfId="31" priority="18">
      <formula>AND(J7&lt;&gt;"",J7&gt;0)</formula>
    </cfRule>
  </conditionalFormatting>
  <conditionalFormatting sqref="AD106">
    <cfRule type="expression" dxfId="30" priority="17">
      <formula>AND(K106&lt;&gt;"",K106&gt;0)</formula>
    </cfRule>
  </conditionalFormatting>
  <conditionalFormatting sqref="AE106">
    <cfRule type="expression" dxfId="29" priority="39">
      <formula>AND(K106&lt;&gt;"",K106&gt;0)</formula>
    </cfRule>
  </conditionalFormatting>
  <conditionalFormatting sqref="Q5:R5 R111">
    <cfRule type="notContainsBlanks" dxfId="28" priority="13">
      <formula>LEN(TRIM(Q5))&gt;0</formula>
    </cfRule>
  </conditionalFormatting>
  <conditionalFormatting sqref="AB6:AC6">
    <cfRule type="notContainsBlanks" dxfId="27" priority="12">
      <formula>LEN(TRIM(AB6))&gt;0</formula>
    </cfRule>
  </conditionalFormatting>
  <conditionalFormatting sqref="Q106 AB7:AB106">
    <cfRule type="expression" dxfId="26" priority="9">
      <formula>AND(Q7&lt;&gt;"",Q7&gt;0)</formula>
    </cfRule>
  </conditionalFormatting>
  <conditionalFormatting sqref="T106 AE7:AE106">
    <cfRule type="expression" dxfId="25" priority="8">
      <formula>AND(Q7&lt;&gt;"",Q7&gt;0)</formula>
    </cfRule>
  </conditionalFormatting>
  <conditionalFormatting sqref="U106 AF7:AF106">
    <cfRule type="expression" dxfId="24" priority="6">
      <formula>AND(R7&lt;&gt;"",R7&gt;0)</formula>
    </cfRule>
  </conditionalFormatting>
  <conditionalFormatting sqref="U7:U106">
    <cfRule type="expression" dxfId="23" priority="41">
      <formula>AND(I7&lt;&gt;"",I7&gt;0)</formula>
    </cfRule>
  </conditionalFormatting>
  <conditionalFormatting sqref="T7:T106">
    <cfRule type="expression" dxfId="22" priority="43">
      <formula>AND(H7&lt;&gt;"",H7&gt;0)</formula>
    </cfRule>
  </conditionalFormatting>
  <conditionalFormatting sqref="V7:W106">
    <cfRule type="expression" dxfId="21" priority="45">
      <formula>AND(J7&lt;&gt;"",J7&gt;0)</formula>
    </cfRule>
  </conditionalFormatting>
  <conditionalFormatting sqref="X7:X106">
    <cfRule type="expression" dxfId="20" priority="47">
      <formula>AND(K7&lt;&gt;"",K7&gt;0)</formula>
    </cfRule>
  </conditionalFormatting>
  <conditionalFormatting sqref="AA106">
    <cfRule type="expression" dxfId="19" priority="4">
      <formula>AND(H106&lt;&gt;"",H106&gt;0)</formula>
    </cfRule>
  </conditionalFormatting>
  <conditionalFormatting sqref="AA2:AA5 AA7:AA1048576">
    <cfRule type="notContainsBlanks" dxfId="18" priority="5">
      <formula>LEN(TRIM(AA2))&gt;0</formula>
    </cfRule>
  </conditionalFormatting>
  <conditionalFormatting sqref="AA6">
    <cfRule type="notContainsBlanks" dxfId="17" priority="3">
      <formula>LEN(TRIM(AA6))&gt;0</formula>
    </cfRule>
  </conditionalFormatting>
  <dataValidations xWindow="569" yWindow="445" count="25">
    <dataValidation type="whole" operator="greaterThanOrEqual" showInputMessage="1" showErrorMessage="1" error="Kérem, ide nem negatív egész számot írjon be!" prompt="Akik más forrásból kapnak utazási, egyéni támogatást és kurzusdíjat! Az intézményük szervezési támogatást kaphat ezekhez a résztvevőkhöz!" sqref="O7:O106">
      <formula1>0</formula1>
    </dataValidation>
    <dataValidation allowBlank="1" sqref="Z6"/>
    <dataValidation type="custom" operator="greaterThanOrEqual" showInputMessage="1" showErrorMessage="1" error="A támogatás összege nem lehet több, mint 0, ha a Rendkívüli támogatást igénylők (előkészítő látogatás) száma 0!" sqref="AF7:AF106">
      <formula1>IF(AC7=0,AF7=0,AF7&gt;0)</formula1>
    </dataValidation>
    <dataValidation operator="greaterThanOrEqual" sqref="Z7:Z106"/>
    <dataValidation operator="greaterThanOrEqual" allowBlank="1" sqref="X7:X106"/>
    <dataValidation type="custom" showInputMessage="1" showErrorMessage="1" error="Kérem, olyan egész számot adjon meg, ami nem több, mint a Résztvevők száma összesen!_x000a_Amennyiben a Spec.igényű résztvevők száma 0, nem igényelhető 'Speciális támogatás'!" prompt="Nem lehet több, mint a &quot;Résztvevők száma összesen&quot;!_x000a_Kérem, ebbe a mezőbe kizárólag nullát, vagy annál nagyobb egész számot írjon be!" sqref="H106">
      <formula1>IF(Z106&gt;0,H106&gt;0,H106&lt;=N106)</formula1>
    </dataValidation>
    <dataValidation type="custom" showInputMessage="1" showErrorMessage="1" error="Kérem, olyan egész számot adjon meg, ami nem több, mint a Résztvevők száma összesen!_x000a_Amennyiben a Spec.igényű résztvevők száma 0, nem igényelhető 'Speciális támogatás'!" prompt="Nem lehet több, mint a &quot;Résztvevők száma összesen&quot;!_x000a_Kérem, ebbe a mezőbe kizárólag nullát, vagy annál nagyobb egész számot írjon be!" sqref="H7:H105">
      <formula1>IF(T7&gt;0,H7&gt;0,H7&lt;=N7)</formula1>
    </dataValidation>
    <dataValidation type="custom" allowBlank="1" showInputMessage="1" showErrorMessage="1" error="Amennyiben jogosult előkészító látogatásra támogatást igényelni, úgy 0-át, vagy 1-et írhat be, amennyiben nem jogosult kizárólag 0-át!" prompt="Max. 1 fő" sqref="AA106">
      <formula1>IF(Z106="Jogosult igényelni",OR(AA106=0,AA106=1),AA106=0)</formula1>
    </dataValidation>
    <dataValidation type="custom" allowBlank="1" showInputMessage="1" showErrorMessage="1" error="Amennyiben jogosult előkészító látogatásra támogatást igényelni, úgy 0-át, vagy 1-et írhat be, amennyiben nem jogosult kizárólag 0-át!" prompt="Max. 1 fő" sqref="AB106">
      <formula1>IF(Z106="Jogosult igényelni",OR(AB106=0,AB106=1),AB106=0)</formula1>
    </dataValidation>
    <dataValidation type="custom" operator="greaterThanOrEqual" showInputMessage="1" showErrorMessage="1" error="A támogatás összege nem lehet több, mint 0, ha a Speciális igényű résztvevők (előkészítő látogatás) száma 0!" sqref="AE7:AE106">
      <formula1>IF(AB7=0,AE7=0,AE7&gt;0)</formula1>
    </dataValidation>
    <dataValidation type="custom" showInputMessage="1" showErrorMessage="1" error="Kérem, ide 0 és 5 közötti nem negatív egész számot írjon be!" prompt="Legfeljebb 3 munkanap + 2 nap utazási idő" sqref="AD7:AD106">
      <formula1>IF(Z7="Jogosult igényelni",AND(AD7&gt;=0,AD7&lt;=5),AD7=0)</formula1>
    </dataValidation>
    <dataValidation type="custom" showInputMessage="1" showErrorMessage="1" error="Amennyiben jogosult előkészító látogatásra támogatást igényelni, úgy 0-át, vagy 1-et írhat be, amennyiben nem jogosult kizárólag 0-át!" prompt="Max. 1 fő_x000a_Amennyiben van kísérő személy, úgy max. 2 fő" sqref="AC8:AC106">
      <formula1>IF(Z8="Jogosult igényelni",IF(AA8=0,OR(AC8=0,AC8=1),OR(AC8=1,AC8=2)),AC8=0)</formula1>
    </dataValidation>
    <dataValidation type="custom" operator="greaterThanOrEqual" allowBlank="1" showInputMessage="1" showErrorMessage="1" error="Ha a rendkívüli támogatást igénylő résztvevők (magas utazási költség) száma 0, akkor a támogatás összege nem lehet több, mint 0!" prompt="Kérem, az adott mobilitás(ok)hoz tartozó teljes utazási támogatást itt adja meg! _x000a_Magas utazási költség esetén igényelhető támogatási összeg, amennyiben az_x000a_adható utazási támogatás (átalány) nem fedezi az utazás költségeit!" sqref="U7:U106">
      <formula1>IF(I7=0,U7=0,U7&gt;0)</formula1>
    </dataValidation>
    <dataValidation type="custom" operator="greaterThanOrEqual" allowBlank="1" showInputMessage="1" showErrorMessage="1" error="Ha a speciális igényű résztvevők száma 0, akkor a támogatás összege nem lehet több, mint 0!" sqref="T7:T106">
      <formula1>IF(H7=0,T7=0,T7&gt;0)</formula1>
    </dataValidation>
    <dataValidation type="whole" showInputMessage="1" showErrorMessage="1" error="Kísérő személyek száma 0, vagy annál több egész szám lehet._x000a_Turnusonként 1 kísérő kiutazása támogatható, de nagyobb létszámú_x000a_csoportok esetében 10 kiutazónként van lehetőség plusz egy kísérő támogatására!" prompt="Turnusonként 1 kísérő kiutazása támogatható, de nagyobb létszámú_x000a_csoportok esetében 10 kiutazónként plusz egy kísérő támogatására van lehetőség!_x000a_Kérem, ebbe a mezőbe kizárólag nullát, vagy annál nagyobb egész számot írjon be!" sqref="K7:K106">
      <formula1>0</formula1>
      <formula2>IF(N7&lt;=10,IF(N7="",K7&lt;=0,1),N7/10+1)</formula2>
    </dataValidation>
    <dataValidation type="custom" operator="greaterThanOrEqual" showInputMessage="1" showErrorMessage="1" error="A 'Teljes időtartam az utazással töltött idő nélkül' számnak legalább 19-nek kell lennie a támogatás igényléséhez, a megadott résztvevőszám nem lehet több, mint a résztvevők száma összesen!" prompt="A legalább 19 napos (az utazási napokat nem számítva) tevékenységek résztvevői nyelvi támogatást kaphatnak bizonyos nyelvekhez kapcsolodóan. Szabályokról bővebben a Pályázati útmutatóban olvashatnak." sqref="W7:W106">
      <formula1>IF(E7&gt;=19,W7&lt;=N7,0)</formula1>
    </dataValidation>
    <dataValidation type="custom" showInputMessage="1" showErrorMessage="1" error="Kérem, olyan egész számot adjon meg, ami nem nagyobb, mint a Résztvevők száma összesen + a kísérők száma!_x000a_Amennyiben a Rendkívüli támogatást igénylő résztvevők száma 0, nem igényelhető 'Rendkívüli támogatás'!" prompt="Nem lehet több, mint a &quot;Résztvevők száma összesen&quot; + a 'Kísérő személyek száma'!_x000a_Kérem, ebbe a mezőbe kizárólag nullát, vagy annál nagyobb egész számot írjon be!" sqref="I7:I106">
      <formula1>IF(U7&gt;0,I7&gt;0,I7&lt;=N7+K7)</formula1>
    </dataValidation>
    <dataValidation type="whole" showInputMessage="1" showErrorMessage="1" prompt="Max. 2 nap" sqref="M7:M106">
      <formula1>0</formula1>
      <formula2>IF(K7&gt;0,AND(M7&gt;=0,M7&lt;=2),M7=0)</formula2>
    </dataValidation>
    <dataValidation type="whole" showInputMessage="1" showErrorMessage="1" error="Kérem, 0 és 2 közötti egész számot adjon meg!" prompt="max. 2 nap" sqref="F7:F106">
      <formula1>0</formula1>
      <formula2>2</formula2>
    </dataValidation>
    <dataValidation type="custom" showInputMessage="1" showErrorMessage="1" error="Kérem, 0-nál nagyobb egész számot adjon meg! A beírt számnak nagyobbnak, v. egyenlőnek kell lennie a Spec.igényű/Rendkívüli támogatás-számnál (magas utazás), valamint 10 résztvevőnként jár +1 kísérő!" prompt="Kérem, 0-nál nagyobb egész számot adjon meg! _x000a_A beírt számnak nagyobbnak, v. egyenlőnek kell lennie a Spec.igényű/Rendkívüli támogatást (magas utazási költség) igénylő résztvevők számánál, valamint 10 résztvevőnként jár +1 kísérő!" sqref="N7:N106">
      <formula1>AND(N7&gt;0,H7&lt;=N7,I7&lt;=N7,IF(K7=0,N7&gt;0,IF(K7=1,N7&gt;0,N7&gt;((K7-1)*10))))</formula1>
    </dataValidation>
    <dataValidation type="custom" showInputMessage="1" showErrorMessage="1" error="Amennyiben jogosult előkészító látogatásra támogatást igényelni, úgy 0-át, vagy 1-et írhat be, amennyiben nem jogosult kizárólag 0-át!" prompt="Max. 1 fő" sqref="AA7:AA105">
      <formula1>IF(Z7="Jogosult igényelni",OR(AA7=0,AA7=1),AA7=0)</formula1>
    </dataValidation>
    <dataValidation type="custom" showInputMessage="1" showErrorMessage="1" error="Amennyiben jogosult előkészító látogatásra támogatást igényelni, úgy 0-át, vagy 1-et írhat be, amennyiben nem jogosult kizárólag 0-át!" prompt="Max. 1 fő" sqref="AB7:AB105">
      <formula1>IF(Z7="Jogosult igényelni",OR(AB7=0,AB7=1),AB7=0)</formula1>
    </dataValidation>
    <dataValidation type="custom" showInputMessage="1" showErrorMessage="1" error="Amennyiben jogosult előkészító látogatásra támogatást igényelni, úgy 0-át, vagy 1-et írhat be, amennyiben nem jogosult kizárólag 0-át!" prompt="Max. 1 fő_x000a_Amennyiben van kísérő személy, úgy max. 2 fő" sqref="AC7">
      <formula1>IF(Z7="Jogosult igényelni",IF(AA7=0,OR(AC7=0,AC7=1),OR(AC7=1,AC7=2)),AC7=0)</formula1>
    </dataValidation>
    <dataValidation type="custom" showInputMessage="1" showErrorMessage="1" error="Amennyiben a Kísérő személyek száma nulla, akkor a hozzájuk tartozó utatási napok száma is nulla!_x000a_Amennyiben a Kísérő személyek száma 1, vagy annál több, akkor kérjük, 1 és 60 közötti egész számot adjon meg!" prompt="Ha a Kísérő személyek száma több, mint 0, akkor min. 1 és max. 60 nap." sqref="L7:L106">
      <formula1>IF(K7&gt;0,AND(L7&gt;=1,L7&lt;=60),L7=0)</formula1>
    </dataValidation>
    <dataValidation type="custom" operator="greaterThanOrEqual" showInputMessage="1" showErrorMessage="1" error="Ha a rendkívüli támogatást igénylő résztvevők (hátrányos helyzet) száma 0, akkor a támogatás összege nem lehet több, mint 0!" prompt="Hátrányos helyzetű résztvevők esetén igényelhető. ld. Pályázati kalauz." sqref="V7:V106">
      <formula1>IF(J7=0,V7=0,V7&gt;0)</formula1>
    </dataValidation>
  </dataValidations>
  <hyperlinks>
    <hyperlink ref="P6" r:id="rId1"/>
  </hyperlinks>
  <printOptions horizontalCentered="1"/>
  <pageMargins left="0.19685039370078741" right="0.19685039370078741" top="0.59055118110236227" bottom="0.59055118110236227" header="0" footer="0"/>
  <pageSetup paperSize="9" scale="33" fitToHeight="0" orientation="landscape" r:id="rId2"/>
  <ignoredErrors>
    <ignoredError sqref="H111:H112 F107:F108 N107:N110 S8:S105 V107:W110 O7:O106 AB107:AB110 Y107:Z110 T8:U106 J8:K106 H8:I110 Z106:AF106 K107:K110 M7:M106 T7:U7 W7:X7 W8:X106 H7:I7 J7:K7 Z7 AC7:AE7 Z8:Z105 AC8:AF105 AA7:AB105 AF7 L7:L106 V7:V106" unlockedFormula="1"/>
    <ignoredError sqref="Y7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5" id="{CE34525F-7C49-4287-B845-DAEDF7759761}">
            <xm:f>$B7=Segédlet!$L$6</xm:f>
            <x14:dxf>
              <fill>
                <patternFill>
                  <bgColor rgb="FFFF9966"/>
                </patternFill>
              </fill>
            </x14:dxf>
          </x14:cfRule>
          <xm:sqref>P106 Z7:Z106 C7:C106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569" yWindow="445" count="6">
        <x14:dataValidation type="list" showInputMessage="1" showErrorMessage="1" error="Kérem, a listából válasszon tevékenységet!" prompt="Kérem, a legördülő listából válassza ki a mobilitáshoz kapcsolódó tevékenységet! (cella jobb oldala lent - kis négyzetben lévő fekete nyílra kattintva)">
          <x14:formula1>
            <xm:f>Segédlet!$L$5:$L$6</xm:f>
          </x14:formula1>
          <xm:sqref>B7:B106</xm:sqref>
        </x14:dataValidation>
        <x14:dataValidation type="custom" showInputMessage="1" showErrorMessage="1" error="Egész számot adjon meg, ami nem nagyobb, mint a Résztvevők száma összesen! Amennyiben a Rendkívüli támogatást (HH) igénylő résztvevők száma 0, nem igényelhető 'Rendkívüli támogatás(HH)'!Előkészítő látogatásra nem igényelhető!" prompt="Nem lehet több, mint a &quot;Résztvevők száma összesen&quot;!_x000a_Előkészítő látogatás esetén nem igényelhető!_x000a_Kérem, ebbe a mezőbe kizárólag nullát, vagy annál nagyobb egész számot írjon be!">
          <x14:formula1>
            <xm:f>IF(B106=Segédlet!L106,J106=0,IF(AC106&gt;0,J106&gt;0,J106&lt;=N106))</xm:f>
          </x14:formula1>
          <xm:sqref>J106</xm:sqref>
        </x14:dataValidation>
        <x14:dataValidation type="custom" showInputMessage="1" showErrorMessage="1" error="Egész számot adjon meg, ami nem nagyobb, mint a Résztvevők száma összesen! Amennyiben a Rendkívüli támogatást (HH) igénylő résztvevők száma 0, nem igényelhető 'Rendkívüli támogatás(HH)'!Előkészítő látogatásra nem igényelhető!" prompt="Nem lehet több, mint a &quot;Résztvevők száma összesen&quot;!_x000a_Előkészítő látogatás esetén nem igényelhető!_x000a_Kérem, ebbe a mezőbe kizárólag nullát, vagy annál nagyobb egész számot írjon be!">
          <x14:formula1>
            <xm:f>IF(B7=Segédlet!L7,J7=0,IF(V7&gt;0,J7&gt;0,J7&lt;=N7))</xm:f>
          </x14:formula1>
          <xm:sqref>J7:J105</xm:sqref>
        </x14:dataValidation>
        <x14:dataValidation type="list" showInputMessage="1" showErrorMessage="1" errorTitle="Hiba a célországnál" error="Kérem, válasszon a listából!" prompt="Kérem, válassza ki a listából a mobilitáshoz tartozó célországot!_x000a_(cella jobb oldala lent - kis négyzetben lévő fekete nyílra kattintva)">
          <x14:formula1>
            <xm:f>Segédlet!$C$5:$C$37</xm:f>
          </x14:formula1>
          <xm:sqref>C7:C106</xm:sqref>
        </x14:dataValidation>
        <x14:dataValidation type="custom" showInputMessage="1" showErrorMessage="1" error="Kérem, vegye figyelembe az alábbi szabályt!_x000a_Szakképzési tanulók rövid távú mobilitása: min. 10, max. 89 nap_x000a_Erasmus-Pro - szakképzési tanulók hosszú távú mobilitása: min. 90, max. 366 nap" prompt="Szakképzési tanulók rövid távú mobilitása: min. 10, max. 89 nap_x000a_Erasmus-Pro - szakképzési tanulók hosszú távú mobilitása: min. 90, max. 366 nap">
          <x14:formula1>
            <xm:f>IF(B7=Segédlet!$L$5,AND(E7&gt;=10,E7&lt;=89),AND(E7&gt;=90,E7&lt;=366))</xm:f>
          </x14:formula1>
          <xm:sqref>E7:E106</xm:sqref>
        </x14:dataValidation>
        <x14:dataValidation type="list" showInputMessage="1" showErrorMessage="1" prompt="Kérem, a legördülő listából válassza ki a mobilitáshoz tartozó km sávot!">
          <x14:formula1>
            <xm:f>Segédlet!$I$5:$I$12</xm:f>
          </x14:formula1>
          <xm:sqref>P7:P106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S106"/>
  <sheetViews>
    <sheetView zoomScale="85" zoomScaleNormal="85" workbookViewId="0">
      <selection activeCell="R2" sqref="R2"/>
    </sheetView>
  </sheetViews>
  <sheetFormatPr defaultColWidth="9.140625" defaultRowHeight="12" x14ac:dyDescent="0.2"/>
  <cols>
    <col min="1" max="1" width="5.7109375" style="58" customWidth="1"/>
    <col min="2" max="2" width="19.28515625" style="50" customWidth="1"/>
    <col min="3" max="3" width="17.5703125" style="50" bestFit="1" customWidth="1"/>
    <col min="4" max="4" width="15.28515625" style="50" customWidth="1"/>
    <col min="5" max="5" width="14.7109375" style="59" customWidth="1"/>
    <col min="6" max="6" width="11.42578125" style="59" customWidth="1"/>
    <col min="7" max="7" width="13.5703125" style="59" customWidth="1"/>
    <col min="8" max="8" width="13.140625" style="59" customWidth="1"/>
    <col min="9" max="9" width="16.140625" style="59" customWidth="1"/>
    <col min="10" max="10" width="9.28515625" style="59" customWidth="1"/>
    <col min="11" max="12" width="14.5703125" style="59" customWidth="1"/>
    <col min="13" max="13" width="12.28515625" style="59" bestFit="1" customWidth="1"/>
    <col min="14" max="14" width="10.140625" style="59" customWidth="1"/>
    <col min="15" max="15" width="11" style="59" customWidth="1"/>
    <col min="16" max="16" width="14.85546875" style="59" customWidth="1"/>
    <col min="17" max="17" width="10.5703125" style="59" customWidth="1"/>
    <col min="18" max="18" width="12.85546875" style="59" customWidth="1"/>
    <col min="19" max="19" width="9.5703125" style="50" bestFit="1" customWidth="1"/>
    <col min="20" max="20" width="6.5703125" style="50" customWidth="1"/>
    <col min="21" max="16384" width="9.140625" style="50"/>
  </cols>
  <sheetData>
    <row r="1" spans="1:19" ht="21" x14ac:dyDescent="0.2">
      <c r="A1" s="128" t="s">
        <v>86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</row>
    <row r="2" spans="1:19" x14ac:dyDescent="0.2">
      <c r="A2" s="144" t="s">
        <v>57</v>
      </c>
      <c r="B2" s="145"/>
      <c r="C2" s="145"/>
      <c r="D2" s="146"/>
      <c r="E2" s="153" t="str">
        <f>IF('Tanuló kiutazások'!E2&lt;&gt;"",'Tanuló kiutazások'!E2,"")</f>
        <v/>
      </c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56"/>
      <c r="R2" s="56"/>
    </row>
    <row r="3" spans="1:19" x14ac:dyDescent="0.2">
      <c r="A3" s="147"/>
      <c r="B3" s="148"/>
      <c r="C3" s="148"/>
      <c r="D3" s="149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56"/>
      <c r="R3" s="56"/>
    </row>
    <row r="4" spans="1:19" x14ac:dyDescent="0.2">
      <c r="A4" s="150"/>
      <c r="B4" s="151"/>
      <c r="C4" s="151"/>
      <c r="D4" s="152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56"/>
      <c r="R4" s="56"/>
    </row>
    <row r="6" spans="1:19" ht="84" x14ac:dyDescent="0.2">
      <c r="A6" s="48" t="s">
        <v>51</v>
      </c>
      <c r="B6" s="48" t="s">
        <v>0</v>
      </c>
      <c r="C6" s="48" t="s">
        <v>13</v>
      </c>
      <c r="D6" s="48" t="s">
        <v>64</v>
      </c>
      <c r="E6" s="48" t="s">
        <v>1</v>
      </c>
      <c r="F6" s="48" t="s">
        <v>2</v>
      </c>
      <c r="G6" s="48" t="s">
        <v>3</v>
      </c>
      <c r="H6" s="48" t="s">
        <v>4</v>
      </c>
      <c r="I6" s="48" t="s">
        <v>98</v>
      </c>
      <c r="J6" s="48" t="s">
        <v>74</v>
      </c>
      <c r="K6" s="48" t="s">
        <v>96</v>
      </c>
      <c r="L6" s="48" t="s">
        <v>76</v>
      </c>
      <c r="M6" s="49" t="s">
        <v>5</v>
      </c>
      <c r="N6" s="48" t="s">
        <v>55</v>
      </c>
      <c r="O6" s="48" t="s">
        <v>75</v>
      </c>
      <c r="P6" s="48" t="s">
        <v>97</v>
      </c>
      <c r="Q6" s="48" t="s">
        <v>56</v>
      </c>
      <c r="R6" s="48" t="s">
        <v>99</v>
      </c>
      <c r="S6" s="48" t="s">
        <v>65</v>
      </c>
    </row>
    <row r="7" spans="1:19" x14ac:dyDescent="0.2">
      <c r="A7" s="57" t="str">
        <f>IF(B7&lt;&gt;"",1," ")</f>
        <v xml:space="preserve"> </v>
      </c>
      <c r="B7" s="10"/>
      <c r="C7" s="18"/>
      <c r="D7" s="21" t="str">
        <f>IF(C7&lt;&gt;"",INDEX(Segédlet!$B$5:$B$37,MATCH(C7,Segédlet!$C$5:$C$37,0)),"")</f>
        <v/>
      </c>
      <c r="E7" s="19"/>
      <c r="F7" s="8"/>
      <c r="G7" s="5" t="str">
        <f>IF(B7&lt;&gt;"",E7+F7,"")</f>
        <v/>
      </c>
      <c r="H7" s="8" t="str">
        <f t="shared" ref="H7:H70" si="0">IF(B7&lt;&gt;"",0,"")</f>
        <v/>
      </c>
      <c r="I7" s="8" t="str">
        <f t="shared" ref="I7:I70" si="1">IF(B7&lt;&gt;"",0,"")</f>
        <v/>
      </c>
      <c r="J7" s="8" t="str">
        <f t="shared" ref="J7:J71" si="2">IF(B7&lt;&gt;"",0,"")</f>
        <v/>
      </c>
      <c r="K7" s="11"/>
      <c r="L7" s="11" t="str">
        <f t="shared" ref="L7:L71" si="3">IF(B7&lt;&gt;"",0,"")</f>
        <v/>
      </c>
      <c r="M7" s="20"/>
      <c r="N7" s="6" t="str">
        <f>IF(B7&lt;&gt;"",IF(AND(I7&gt;0,R7&gt;0),(K7+J7-I7)*VLOOKUP(M7,Segédlet!$I$5:$J$12,2,0),(K7+J7)*VLOOKUP(M7,Segédlet!$I$5:$J$12,2,0)),"")</f>
        <v/>
      </c>
      <c r="O7" s="6" t="str">
        <f>IF(B7&lt;&gt;"",IF(G7&lt;=14,G7*J7*VLOOKUP(C7,Segédlet!$C$5:$G$37,4,0),J7*14*VLOOKUP(C7,Segédlet!$C$5:$G$37,4,0)+(G7-14)*J7*VLOOKUP(C7,Segédlet!$C$5:$G$37,5,0)),"")</f>
        <v/>
      </c>
      <c r="P7" s="6" t="str">
        <f>IF(B7&lt;&gt;"",IF(G7&lt;=14,G7*K7*VLOOKUP(C7,Segédlet!$C$5:$G$37,4,0),K7*14*VLOOKUP(C7,Segédlet!$C$5:$G$37,4,0)+(G7-14)*K7*VLOOKUP(C7,Segédlet!$C$5:$G$37,5,0)),"")</f>
        <v/>
      </c>
      <c r="Q7" s="12" t="str">
        <f>IF(B7&lt;&gt;"",0,"")</f>
        <v/>
      </c>
      <c r="R7" s="12" t="str">
        <f>IF(B7&lt;&gt;"",0,"")</f>
        <v/>
      </c>
      <c r="S7" s="22" t="str">
        <f t="shared" ref="S7:S38" si="4">IF(B7&lt;&gt;"",SUM(N7:R7),"")</f>
        <v/>
      </c>
    </row>
    <row r="8" spans="1:19" x14ac:dyDescent="0.2">
      <c r="A8" s="57" t="str">
        <f>IF(B8&lt;&gt;"",A7+1," ")</f>
        <v xml:space="preserve"> </v>
      </c>
      <c r="B8" s="10"/>
      <c r="C8" s="18"/>
      <c r="D8" s="21" t="str">
        <f>IF(C8&lt;&gt;"",INDEX(Segédlet!$B$5:$B$37,MATCH(C8,Segédlet!$C$5:$C$37,0)),"")</f>
        <v/>
      </c>
      <c r="E8" s="19"/>
      <c r="F8" s="8"/>
      <c r="G8" s="5" t="str">
        <f t="shared" ref="G8:G70" si="5">IF(B8&lt;&gt;"",E8+F8,"")</f>
        <v/>
      </c>
      <c r="H8" s="8" t="str">
        <f t="shared" si="0"/>
        <v/>
      </c>
      <c r="I8" s="8" t="str">
        <f t="shared" si="1"/>
        <v/>
      </c>
      <c r="J8" s="8" t="str">
        <f t="shared" si="2"/>
        <v/>
      </c>
      <c r="K8" s="11"/>
      <c r="L8" s="11" t="str">
        <f t="shared" si="3"/>
        <v/>
      </c>
      <c r="M8" s="20"/>
      <c r="N8" s="6" t="str">
        <f>IF(B8&lt;&gt;"",IF(AND(I8&gt;0,R8&gt;0),(K8+J8-I8)*VLOOKUP(M8,Segédlet!$I$5:$J$12,2,0),(K8+J8)*VLOOKUP(M8,Segédlet!$I$5:$J$12,2,0)),"")</f>
        <v/>
      </c>
      <c r="O8" s="6" t="str">
        <f>IF(B8&lt;&gt;"",IF(G8&lt;=14,G8*J8*VLOOKUP(C8,Segédlet!$C$5:$G$37,4,0),J8*14*VLOOKUP(C8,Segédlet!$C$5:$G$37,4,0)+(G8-14)*J8*VLOOKUP(C8,Segédlet!$C$5:$G$37,5,0)),"")</f>
        <v/>
      </c>
      <c r="P8" s="6" t="str">
        <f>IF(B8&lt;&gt;"",IF(G8&lt;=14,G8*K8*VLOOKUP(C8,Segédlet!$C$5:$G$37,4,0),K8*14*VLOOKUP(C8,Segédlet!$C$5:$G$37,4,0)+(G8-14)*K8*VLOOKUP(C8,Segédlet!$C$5:$G$37,5,0)),"")</f>
        <v/>
      </c>
      <c r="Q8" s="12" t="str">
        <f t="shared" ref="Q8:Q71" si="6">IF(B8&lt;&gt;"",0,"")</f>
        <v/>
      </c>
      <c r="R8" s="12" t="str">
        <f t="shared" ref="R8:R71" si="7">IF(B8&lt;&gt;"",0,"")</f>
        <v/>
      </c>
      <c r="S8" s="22" t="str">
        <f t="shared" si="4"/>
        <v/>
      </c>
    </row>
    <row r="9" spans="1:19" x14ac:dyDescent="0.2">
      <c r="A9" s="57" t="str">
        <f t="shared" ref="A9:A72" si="8">IF(B9&lt;&gt;"",A8+1," ")</f>
        <v xml:space="preserve"> </v>
      </c>
      <c r="B9" s="10"/>
      <c r="C9" s="18"/>
      <c r="D9" s="21" t="str">
        <f>IF(C9&lt;&gt;"",INDEX(Segédlet!$B$5:$B$37,MATCH(C9,Segédlet!$C$5:$C$37,0)),"")</f>
        <v/>
      </c>
      <c r="E9" s="19"/>
      <c r="F9" s="8"/>
      <c r="G9" s="5" t="str">
        <f t="shared" si="5"/>
        <v/>
      </c>
      <c r="H9" s="8" t="str">
        <f t="shared" si="0"/>
        <v/>
      </c>
      <c r="I9" s="8" t="str">
        <f t="shared" si="1"/>
        <v/>
      </c>
      <c r="J9" s="8" t="str">
        <f t="shared" si="2"/>
        <v/>
      </c>
      <c r="K9" s="11"/>
      <c r="L9" s="11" t="str">
        <f t="shared" si="3"/>
        <v/>
      </c>
      <c r="M9" s="20"/>
      <c r="N9" s="6" t="str">
        <f>IF(B9&lt;&gt;"",IF(AND(I9&gt;0,R9&gt;0),(K9+J9-I9)*VLOOKUP(M9,Segédlet!$I$5:$J$12,2,0),(K9+J9)*VLOOKUP(M9,Segédlet!$I$5:$J$12,2,0)),"")</f>
        <v/>
      </c>
      <c r="O9" s="6" t="str">
        <f>IF(B9&lt;&gt;"",IF(G9&lt;=14,G9*J9*VLOOKUP(C9,Segédlet!$C$5:$G$37,4,0),J9*14*VLOOKUP(C9,Segédlet!$C$5:$G$37,4,0)+(G9-14)*J9*VLOOKUP(C9,Segédlet!$C$5:$G$37,5,0)),"")</f>
        <v/>
      </c>
      <c r="P9" s="6" t="str">
        <f>IF(B9&lt;&gt;"",IF(G9&lt;=14,G9*K9*VLOOKUP(C9,Segédlet!$C$5:$G$37,4,0),K9*14*VLOOKUP(C9,Segédlet!$C$5:$G$37,4,0)+(G9-14)*K9*VLOOKUP(C9,Segédlet!$C$5:$G$37,5,0)),"")</f>
        <v/>
      </c>
      <c r="Q9" s="12" t="str">
        <f t="shared" si="6"/>
        <v/>
      </c>
      <c r="R9" s="12" t="str">
        <f t="shared" si="7"/>
        <v/>
      </c>
      <c r="S9" s="22" t="str">
        <f t="shared" si="4"/>
        <v/>
      </c>
    </row>
    <row r="10" spans="1:19" x14ac:dyDescent="0.2">
      <c r="A10" s="57" t="str">
        <f t="shared" si="8"/>
        <v xml:space="preserve"> </v>
      </c>
      <c r="B10" s="10"/>
      <c r="C10" s="18"/>
      <c r="D10" s="21" t="str">
        <f>IF(C10&lt;&gt;"",INDEX(Segédlet!$B$5:$B$37,MATCH(C10,Segédlet!$C$5:$C$37,0)),"")</f>
        <v/>
      </c>
      <c r="E10" s="19"/>
      <c r="F10" s="8"/>
      <c r="G10" s="5" t="str">
        <f t="shared" si="5"/>
        <v/>
      </c>
      <c r="H10" s="8" t="str">
        <f t="shared" si="0"/>
        <v/>
      </c>
      <c r="I10" s="8" t="str">
        <f t="shared" si="1"/>
        <v/>
      </c>
      <c r="J10" s="8" t="str">
        <f t="shared" si="2"/>
        <v/>
      </c>
      <c r="K10" s="11"/>
      <c r="L10" s="11" t="str">
        <f t="shared" si="3"/>
        <v/>
      </c>
      <c r="M10" s="20"/>
      <c r="N10" s="6" t="str">
        <f>IF(B10&lt;&gt;"",IF(AND(I10&gt;0,R10&gt;0),(K10+J10-I10)*VLOOKUP(M10,Segédlet!$I$5:$J$12,2,0),(K10+J10)*VLOOKUP(M10,Segédlet!$I$5:$J$12,2,0)),"")</f>
        <v/>
      </c>
      <c r="O10" s="6" t="str">
        <f>IF(B10&lt;&gt;"",IF(G10&lt;=14,G10*J10*VLOOKUP(C10,Segédlet!$C$5:$G$37,4,0),J10*14*VLOOKUP(C10,Segédlet!$C$5:$G$37,4,0)+(G10-14)*J10*VLOOKUP(C10,Segédlet!$C$5:$G$37,5,0)),"")</f>
        <v/>
      </c>
      <c r="P10" s="6" t="str">
        <f>IF(B10&lt;&gt;"",IF(G10&lt;=14,G10*K10*VLOOKUP(C10,Segédlet!$C$5:$G$37,4,0),K10*14*VLOOKUP(C10,Segédlet!$C$5:$G$37,4,0)+(G10-14)*K10*VLOOKUP(C10,Segédlet!$C$5:$G$37,5,0)),"")</f>
        <v/>
      </c>
      <c r="Q10" s="12" t="str">
        <f t="shared" si="6"/>
        <v/>
      </c>
      <c r="R10" s="12" t="str">
        <f t="shared" si="7"/>
        <v/>
      </c>
      <c r="S10" s="22" t="str">
        <f t="shared" si="4"/>
        <v/>
      </c>
    </row>
    <row r="11" spans="1:19" x14ac:dyDescent="0.2">
      <c r="A11" s="57" t="str">
        <f t="shared" si="8"/>
        <v xml:space="preserve"> </v>
      </c>
      <c r="B11" s="10"/>
      <c r="C11" s="18"/>
      <c r="D11" s="21" t="str">
        <f>IF(C11&lt;&gt;"",INDEX(Segédlet!$B$5:$B$37,MATCH(C11,Segédlet!$C$5:$C$37,0)),"")</f>
        <v/>
      </c>
      <c r="E11" s="19"/>
      <c r="F11" s="8"/>
      <c r="G11" s="5" t="str">
        <f t="shared" si="5"/>
        <v/>
      </c>
      <c r="H11" s="8" t="str">
        <f t="shared" si="0"/>
        <v/>
      </c>
      <c r="I11" s="8" t="str">
        <f t="shared" si="1"/>
        <v/>
      </c>
      <c r="J11" s="8" t="str">
        <f t="shared" si="2"/>
        <v/>
      </c>
      <c r="K11" s="11"/>
      <c r="L11" s="11" t="str">
        <f t="shared" si="3"/>
        <v/>
      </c>
      <c r="M11" s="20"/>
      <c r="N11" s="6" t="str">
        <f>IF(B11&lt;&gt;"",IF(AND(I11&gt;0,R11&gt;0),(K11+J11-I11)*VLOOKUP(M11,Segédlet!$I$5:$J$12,2,0),(K11+J11)*VLOOKUP(M11,Segédlet!$I$5:$J$12,2,0)),"")</f>
        <v/>
      </c>
      <c r="O11" s="6" t="str">
        <f>IF(B11&lt;&gt;"",IF(G11&lt;=14,G11*J11*VLOOKUP(C11,Segédlet!$C$5:$G$37,4,0),J11*14*VLOOKUP(C11,Segédlet!$C$5:$G$37,4,0)+(G11-14)*J11*VLOOKUP(C11,Segédlet!$C$5:$G$37,5,0)),"")</f>
        <v/>
      </c>
      <c r="P11" s="6" t="str">
        <f>IF(B11&lt;&gt;"",IF(G11&lt;=14,G11*K11*VLOOKUP(C11,Segédlet!$C$5:$G$37,4,0),K11*14*VLOOKUP(C11,Segédlet!$C$5:$G$37,4,0)+(G11-14)*K11*VLOOKUP(C11,Segédlet!$C$5:$G$37,5,0)),"")</f>
        <v/>
      </c>
      <c r="Q11" s="12" t="str">
        <f t="shared" si="6"/>
        <v/>
      </c>
      <c r="R11" s="12" t="str">
        <f t="shared" si="7"/>
        <v/>
      </c>
      <c r="S11" s="22" t="str">
        <f t="shared" si="4"/>
        <v/>
      </c>
    </row>
    <row r="12" spans="1:19" x14ac:dyDescent="0.2">
      <c r="A12" s="57" t="str">
        <f t="shared" si="8"/>
        <v xml:space="preserve"> </v>
      </c>
      <c r="B12" s="10"/>
      <c r="C12" s="18"/>
      <c r="D12" s="21" t="str">
        <f>IF(C12&lt;&gt;"",INDEX(Segédlet!$B$5:$B$37,MATCH(C12,Segédlet!$C$5:$C$37,0)),"")</f>
        <v/>
      </c>
      <c r="E12" s="19"/>
      <c r="F12" s="8"/>
      <c r="G12" s="5" t="str">
        <f t="shared" si="5"/>
        <v/>
      </c>
      <c r="H12" s="8" t="str">
        <f t="shared" si="0"/>
        <v/>
      </c>
      <c r="I12" s="8" t="str">
        <f t="shared" si="1"/>
        <v/>
      </c>
      <c r="J12" s="8" t="str">
        <f t="shared" si="2"/>
        <v/>
      </c>
      <c r="K12" s="11"/>
      <c r="L12" s="11" t="str">
        <f t="shared" si="3"/>
        <v/>
      </c>
      <c r="M12" s="20"/>
      <c r="N12" s="6" t="str">
        <f>IF(B12&lt;&gt;"",IF(AND(I12&gt;0,R12&gt;0),(K12+J12-I12)*VLOOKUP(M12,Segédlet!$I$5:$J$12,2,0),(K12+J12)*VLOOKUP(M12,Segédlet!$I$5:$J$12,2,0)),"")</f>
        <v/>
      </c>
      <c r="O12" s="6" t="str">
        <f>IF(B12&lt;&gt;"",IF(G12&lt;=14,G12*J12*VLOOKUP(C12,Segédlet!$C$5:$G$37,4,0),J12*14*VLOOKUP(C12,Segédlet!$C$5:$G$37,4,0)+(G12-14)*J12*VLOOKUP(C12,Segédlet!$C$5:$G$37,5,0)),"")</f>
        <v/>
      </c>
      <c r="P12" s="6" t="str">
        <f>IF(B12&lt;&gt;"",IF(G12&lt;=14,G12*K12*VLOOKUP(C12,Segédlet!$C$5:$G$37,4,0),K12*14*VLOOKUP(C12,Segédlet!$C$5:$G$37,4,0)+(G12-14)*K12*VLOOKUP(C12,Segédlet!$C$5:$G$37,5,0)),"")</f>
        <v/>
      </c>
      <c r="Q12" s="12" t="str">
        <f t="shared" si="6"/>
        <v/>
      </c>
      <c r="R12" s="12" t="str">
        <f t="shared" si="7"/>
        <v/>
      </c>
      <c r="S12" s="22" t="str">
        <f t="shared" si="4"/>
        <v/>
      </c>
    </row>
    <row r="13" spans="1:19" x14ac:dyDescent="0.2">
      <c r="A13" s="57" t="str">
        <f t="shared" si="8"/>
        <v xml:space="preserve"> </v>
      </c>
      <c r="B13" s="10"/>
      <c r="C13" s="18"/>
      <c r="D13" s="21" t="str">
        <f>IF(C13&lt;&gt;"",INDEX(Segédlet!$B$5:$B$37,MATCH(C13,Segédlet!$C$5:$C$37,0)),"")</f>
        <v/>
      </c>
      <c r="E13" s="19"/>
      <c r="F13" s="8"/>
      <c r="G13" s="5" t="str">
        <f t="shared" si="5"/>
        <v/>
      </c>
      <c r="H13" s="8" t="str">
        <f t="shared" si="0"/>
        <v/>
      </c>
      <c r="I13" s="8" t="str">
        <f t="shared" si="1"/>
        <v/>
      </c>
      <c r="J13" s="8" t="str">
        <f t="shared" si="2"/>
        <v/>
      </c>
      <c r="K13" s="11"/>
      <c r="L13" s="11" t="str">
        <f t="shared" si="3"/>
        <v/>
      </c>
      <c r="M13" s="20"/>
      <c r="N13" s="6" t="str">
        <f>IF(B13&lt;&gt;"",IF(AND(I13&gt;0,R13&gt;0),(K13+J13-I13)*VLOOKUP(M13,Segédlet!$I$5:$J$12,2,0),(K13+J13)*VLOOKUP(M13,Segédlet!$I$5:$J$12,2,0)),"")</f>
        <v/>
      </c>
      <c r="O13" s="6" t="str">
        <f>IF(B13&lt;&gt;"",IF(G13&lt;=14,G13*J13*VLOOKUP(C13,Segédlet!$C$5:$G$37,4,0),J13*14*VLOOKUP(C13,Segédlet!$C$5:$G$37,4,0)+(G13-14)*J13*VLOOKUP(C13,Segédlet!$C$5:$G$37,5,0)),"")</f>
        <v/>
      </c>
      <c r="P13" s="6" t="str">
        <f>IF(B13&lt;&gt;"",IF(G13&lt;=14,G13*K13*VLOOKUP(C13,Segédlet!$C$5:$G$37,4,0),K13*14*VLOOKUP(C13,Segédlet!$C$5:$G$37,4,0)+(G13-14)*K13*VLOOKUP(C13,Segédlet!$C$5:$G$37,5,0)),"")</f>
        <v/>
      </c>
      <c r="Q13" s="12" t="str">
        <f t="shared" si="6"/>
        <v/>
      </c>
      <c r="R13" s="12" t="str">
        <f t="shared" si="7"/>
        <v/>
      </c>
      <c r="S13" s="22" t="str">
        <f t="shared" si="4"/>
        <v/>
      </c>
    </row>
    <row r="14" spans="1:19" x14ac:dyDescent="0.2">
      <c r="A14" s="57" t="str">
        <f t="shared" si="8"/>
        <v xml:space="preserve"> </v>
      </c>
      <c r="B14" s="10"/>
      <c r="C14" s="18"/>
      <c r="D14" s="21" t="str">
        <f>IF(C14&lt;&gt;"",INDEX(Segédlet!$B$5:$B$37,MATCH(C14,Segédlet!$C$5:$C$37,0)),"")</f>
        <v/>
      </c>
      <c r="E14" s="19"/>
      <c r="F14" s="8"/>
      <c r="G14" s="5" t="str">
        <f t="shared" si="5"/>
        <v/>
      </c>
      <c r="H14" s="8" t="str">
        <f t="shared" si="0"/>
        <v/>
      </c>
      <c r="I14" s="8" t="str">
        <f t="shared" si="1"/>
        <v/>
      </c>
      <c r="J14" s="8" t="str">
        <f t="shared" si="2"/>
        <v/>
      </c>
      <c r="K14" s="11"/>
      <c r="L14" s="11" t="str">
        <f t="shared" si="3"/>
        <v/>
      </c>
      <c r="M14" s="20"/>
      <c r="N14" s="6" t="str">
        <f>IF(B14&lt;&gt;"",IF(AND(I14&gt;0,R14&gt;0),(K14+J14-I14)*VLOOKUP(M14,Segédlet!$I$5:$J$12,2,0),(K14+J14)*VLOOKUP(M14,Segédlet!$I$5:$J$12,2,0)),"")</f>
        <v/>
      </c>
      <c r="O14" s="6" t="str">
        <f>IF(B14&lt;&gt;"",IF(G14&lt;=14,G14*J14*VLOOKUP(C14,Segédlet!$C$5:$G$37,4,0),J14*14*VLOOKUP(C14,Segédlet!$C$5:$G$37,4,0)+(G14-14)*J14*VLOOKUP(C14,Segédlet!$C$5:$G$37,5,0)),"")</f>
        <v/>
      </c>
      <c r="P14" s="6" t="str">
        <f>IF(B14&lt;&gt;"",IF(G14&lt;=14,G14*K14*VLOOKUP(C14,Segédlet!$C$5:$G$37,4,0),K14*14*VLOOKUP(C14,Segédlet!$C$5:$G$37,4,0)+(G14-14)*K14*VLOOKUP(C14,Segédlet!$C$5:$G$37,5,0)),"")</f>
        <v/>
      </c>
      <c r="Q14" s="12" t="str">
        <f t="shared" si="6"/>
        <v/>
      </c>
      <c r="R14" s="12" t="str">
        <f t="shared" si="7"/>
        <v/>
      </c>
      <c r="S14" s="22" t="str">
        <f t="shared" si="4"/>
        <v/>
      </c>
    </row>
    <row r="15" spans="1:19" x14ac:dyDescent="0.2">
      <c r="A15" s="57" t="str">
        <f t="shared" si="8"/>
        <v xml:space="preserve"> </v>
      </c>
      <c r="B15" s="10"/>
      <c r="C15" s="18"/>
      <c r="D15" s="21" t="str">
        <f>IF(C15&lt;&gt;"",INDEX(Segédlet!$B$5:$B$37,MATCH(C15,Segédlet!$C$5:$C$37,0)),"")</f>
        <v/>
      </c>
      <c r="E15" s="19"/>
      <c r="F15" s="8"/>
      <c r="G15" s="5" t="str">
        <f t="shared" si="5"/>
        <v/>
      </c>
      <c r="H15" s="8" t="str">
        <f t="shared" si="0"/>
        <v/>
      </c>
      <c r="I15" s="8" t="str">
        <f t="shared" si="1"/>
        <v/>
      </c>
      <c r="J15" s="8" t="str">
        <f t="shared" si="2"/>
        <v/>
      </c>
      <c r="K15" s="11"/>
      <c r="L15" s="11" t="str">
        <f t="shared" si="3"/>
        <v/>
      </c>
      <c r="M15" s="20"/>
      <c r="N15" s="6" t="str">
        <f>IF(B15&lt;&gt;"",IF(AND(I15&gt;0,R15&gt;0),(K15+J15-I15)*VLOOKUP(M15,Segédlet!$I$5:$J$12,2,0),(K15+J15)*VLOOKUP(M15,Segédlet!$I$5:$J$12,2,0)),"")</f>
        <v/>
      </c>
      <c r="O15" s="6" t="str">
        <f>IF(B15&lt;&gt;"",IF(G15&lt;=14,G15*J15*VLOOKUP(C15,Segédlet!$C$5:$G$37,4,0),J15*14*VLOOKUP(C15,Segédlet!$C$5:$G$37,4,0)+(G15-14)*J15*VLOOKUP(C15,Segédlet!$C$5:$G$37,5,0)),"")</f>
        <v/>
      </c>
      <c r="P15" s="6" t="str">
        <f>IF(B15&lt;&gt;"",IF(G15&lt;=14,G15*K15*VLOOKUP(C15,Segédlet!$C$5:$G$37,4,0),K15*14*VLOOKUP(C15,Segédlet!$C$5:$G$37,4,0)+(G15-14)*K15*VLOOKUP(C15,Segédlet!$C$5:$G$37,5,0)),"")</f>
        <v/>
      </c>
      <c r="Q15" s="12" t="str">
        <f t="shared" si="6"/>
        <v/>
      </c>
      <c r="R15" s="12" t="str">
        <f t="shared" si="7"/>
        <v/>
      </c>
      <c r="S15" s="22" t="str">
        <f t="shared" si="4"/>
        <v/>
      </c>
    </row>
    <row r="16" spans="1:19" x14ac:dyDescent="0.2">
      <c r="A16" s="57" t="str">
        <f t="shared" si="8"/>
        <v xml:space="preserve"> </v>
      </c>
      <c r="B16" s="10"/>
      <c r="C16" s="18"/>
      <c r="D16" s="21" t="str">
        <f>IF(C16&lt;&gt;"",INDEX(Segédlet!$B$5:$B$37,MATCH(C16,Segédlet!$C$5:$C$37,0)),"")</f>
        <v/>
      </c>
      <c r="E16" s="19"/>
      <c r="F16" s="8"/>
      <c r="G16" s="5" t="str">
        <f>IF(B16&lt;&gt;"",E16+F16,"")</f>
        <v/>
      </c>
      <c r="H16" s="8" t="str">
        <f t="shared" si="0"/>
        <v/>
      </c>
      <c r="I16" s="8" t="str">
        <f t="shared" si="1"/>
        <v/>
      </c>
      <c r="J16" s="8" t="str">
        <f t="shared" si="2"/>
        <v/>
      </c>
      <c r="K16" s="11"/>
      <c r="L16" s="11" t="str">
        <f t="shared" si="3"/>
        <v/>
      </c>
      <c r="M16" s="20"/>
      <c r="N16" s="6" t="str">
        <f>IF(B16&lt;&gt;"",IF(AND(I16&gt;0,R16&gt;0),(K16+J16-I16)*VLOOKUP(M16,Segédlet!$I$5:$J$12,2,0),(K16+J16)*VLOOKUP(M16,Segédlet!$I$5:$J$12,2,0)),"")</f>
        <v/>
      </c>
      <c r="O16" s="6" t="str">
        <f>IF(B16&lt;&gt;"",IF(G16&lt;=14,G16*J16*VLOOKUP(C16,Segédlet!$C$5:$G$37,4,0),J16*14*VLOOKUP(C16,Segédlet!$C$5:$G$37,4,0)+(G16-14)*J16*VLOOKUP(C16,Segédlet!$C$5:$G$37,5,0)),"")</f>
        <v/>
      </c>
      <c r="P16" s="6" t="str">
        <f>IF(B16&lt;&gt;"",IF(G16&lt;=14,G16*K16*VLOOKUP(C16,Segédlet!$C$5:$G$37,4,0),K16*14*VLOOKUP(C16,Segédlet!$C$5:$G$37,4,0)+(G16-14)*K16*VLOOKUP(C16,Segédlet!$C$5:$G$37,5,0)),"")</f>
        <v/>
      </c>
      <c r="Q16" s="12" t="str">
        <f t="shared" si="6"/>
        <v/>
      </c>
      <c r="R16" s="12" t="str">
        <f t="shared" si="7"/>
        <v/>
      </c>
      <c r="S16" s="22" t="str">
        <f t="shared" si="4"/>
        <v/>
      </c>
    </row>
    <row r="17" spans="1:19" x14ac:dyDescent="0.2">
      <c r="A17" s="57" t="str">
        <f t="shared" si="8"/>
        <v xml:space="preserve"> </v>
      </c>
      <c r="B17" s="10"/>
      <c r="C17" s="18"/>
      <c r="D17" s="21" t="str">
        <f>IF(C17&lt;&gt;"",INDEX(Segédlet!$B$5:$B$37,MATCH(C17,Segédlet!$C$5:$C$37,0)),"")</f>
        <v/>
      </c>
      <c r="E17" s="19"/>
      <c r="F17" s="8"/>
      <c r="G17" s="5" t="str">
        <f t="shared" si="5"/>
        <v/>
      </c>
      <c r="H17" s="8" t="str">
        <f t="shared" si="0"/>
        <v/>
      </c>
      <c r="I17" s="8" t="str">
        <f t="shared" si="1"/>
        <v/>
      </c>
      <c r="J17" s="8" t="str">
        <f t="shared" si="2"/>
        <v/>
      </c>
      <c r="K17" s="11"/>
      <c r="L17" s="11" t="str">
        <f t="shared" si="3"/>
        <v/>
      </c>
      <c r="M17" s="20"/>
      <c r="N17" s="6" t="str">
        <f>IF(B17&lt;&gt;"",IF(AND(I17&gt;0,R17&gt;0),(K17+J17-I17)*VLOOKUP(M17,Segédlet!$I$5:$J$12,2,0),(K17+J17)*VLOOKUP(M17,Segédlet!$I$5:$J$12,2,0)),"")</f>
        <v/>
      </c>
      <c r="O17" s="6" t="str">
        <f>IF(B17&lt;&gt;"",IF(G17&lt;=14,G17*J17*VLOOKUP(C17,Segédlet!$C$5:$G$37,4,0),J17*14*VLOOKUP(C17,Segédlet!$C$5:$G$37,4,0)+(G17-14)*J17*VLOOKUP(C17,Segédlet!$C$5:$G$37,5,0)),"")</f>
        <v/>
      </c>
      <c r="P17" s="6" t="str">
        <f>IF(B17&lt;&gt;"",IF(G17&lt;=14,G17*K17*VLOOKUP(C17,Segédlet!$C$5:$G$37,4,0),K17*14*VLOOKUP(C17,Segédlet!$C$5:$G$37,4,0)+(G17-14)*K17*VLOOKUP(C17,Segédlet!$C$5:$G$37,5,0)),"")</f>
        <v/>
      </c>
      <c r="Q17" s="12" t="str">
        <f t="shared" si="6"/>
        <v/>
      </c>
      <c r="R17" s="12" t="str">
        <f t="shared" si="7"/>
        <v/>
      </c>
      <c r="S17" s="22" t="str">
        <f t="shared" si="4"/>
        <v/>
      </c>
    </row>
    <row r="18" spans="1:19" x14ac:dyDescent="0.2">
      <c r="A18" s="57" t="str">
        <f t="shared" si="8"/>
        <v xml:space="preserve"> </v>
      </c>
      <c r="B18" s="10"/>
      <c r="C18" s="18"/>
      <c r="D18" s="21" t="str">
        <f>IF(C18&lt;&gt;"",INDEX(Segédlet!$B$5:$B$37,MATCH(C18,Segédlet!$C$5:$C$37,0)),"")</f>
        <v/>
      </c>
      <c r="E18" s="19"/>
      <c r="F18" s="8"/>
      <c r="G18" s="5" t="str">
        <f t="shared" si="5"/>
        <v/>
      </c>
      <c r="H18" s="8" t="str">
        <f t="shared" si="0"/>
        <v/>
      </c>
      <c r="I18" s="8" t="str">
        <f t="shared" si="1"/>
        <v/>
      </c>
      <c r="J18" s="8" t="str">
        <f t="shared" si="2"/>
        <v/>
      </c>
      <c r="K18" s="11"/>
      <c r="L18" s="11" t="str">
        <f t="shared" si="3"/>
        <v/>
      </c>
      <c r="M18" s="20"/>
      <c r="N18" s="6" t="str">
        <f>IF(B18&lt;&gt;"",IF(AND(I18&gt;0,R18&gt;0),(K18+J18-I18)*VLOOKUP(M18,Segédlet!$I$5:$J$12,2,0),(K18+J18)*VLOOKUP(M18,Segédlet!$I$5:$J$12,2,0)),"")</f>
        <v/>
      </c>
      <c r="O18" s="6" t="str">
        <f>IF(B18&lt;&gt;"",IF(G18&lt;=14,G18*J18*VLOOKUP(C18,Segédlet!$C$5:$G$37,4,0),J18*14*VLOOKUP(C18,Segédlet!$C$5:$G$37,4,0)+(G18-14)*J18*VLOOKUP(C18,Segédlet!$C$5:$G$37,5,0)),"")</f>
        <v/>
      </c>
      <c r="P18" s="6" t="str">
        <f>IF(B18&lt;&gt;"",IF(G18&lt;=14,G18*K18*VLOOKUP(C18,Segédlet!$C$5:$G$37,4,0),K18*14*VLOOKUP(C18,Segédlet!$C$5:$G$37,4,0)+(G18-14)*K18*VLOOKUP(C18,Segédlet!$C$5:$G$37,5,0)),"")</f>
        <v/>
      </c>
      <c r="Q18" s="12" t="str">
        <f t="shared" si="6"/>
        <v/>
      </c>
      <c r="R18" s="12" t="str">
        <f t="shared" si="7"/>
        <v/>
      </c>
      <c r="S18" s="22" t="str">
        <f t="shared" si="4"/>
        <v/>
      </c>
    </row>
    <row r="19" spans="1:19" x14ac:dyDescent="0.2">
      <c r="A19" s="57" t="str">
        <f t="shared" si="8"/>
        <v xml:space="preserve"> </v>
      </c>
      <c r="B19" s="10"/>
      <c r="C19" s="18"/>
      <c r="D19" s="21" t="str">
        <f>IF(C19&lt;&gt;"",INDEX(Segédlet!$B$5:$B$37,MATCH(C19,Segédlet!$C$5:$C$37,0)),"")</f>
        <v/>
      </c>
      <c r="E19" s="19"/>
      <c r="F19" s="8"/>
      <c r="G19" s="5" t="str">
        <f t="shared" si="5"/>
        <v/>
      </c>
      <c r="H19" s="8" t="str">
        <f t="shared" si="0"/>
        <v/>
      </c>
      <c r="I19" s="8" t="str">
        <f t="shared" si="1"/>
        <v/>
      </c>
      <c r="J19" s="8" t="str">
        <f t="shared" si="2"/>
        <v/>
      </c>
      <c r="K19" s="11"/>
      <c r="L19" s="11" t="str">
        <f t="shared" si="3"/>
        <v/>
      </c>
      <c r="M19" s="20"/>
      <c r="N19" s="6" t="str">
        <f>IF(B19&lt;&gt;"",IF(AND(I19&gt;0,R19&gt;0),(K19+J19-I19)*VLOOKUP(M19,Segédlet!$I$5:$J$12,2,0),(K19+J19)*VLOOKUP(M19,Segédlet!$I$5:$J$12,2,0)),"")</f>
        <v/>
      </c>
      <c r="O19" s="6" t="str">
        <f>IF(B19&lt;&gt;"",IF(G19&lt;=14,G19*J19*VLOOKUP(C19,Segédlet!$C$5:$G$37,4,0),J19*14*VLOOKUP(C19,Segédlet!$C$5:$G$37,4,0)+(G19-14)*J19*VLOOKUP(C19,Segédlet!$C$5:$G$37,5,0)),"")</f>
        <v/>
      </c>
      <c r="P19" s="6" t="str">
        <f>IF(B19&lt;&gt;"",IF(G19&lt;=14,G19*K19*VLOOKUP(C19,Segédlet!$C$5:$G$37,4,0),K19*14*VLOOKUP(C19,Segédlet!$C$5:$G$37,4,0)+(G19-14)*K19*VLOOKUP(C19,Segédlet!$C$5:$G$37,5,0)),"")</f>
        <v/>
      </c>
      <c r="Q19" s="12" t="str">
        <f t="shared" si="6"/>
        <v/>
      </c>
      <c r="R19" s="12" t="str">
        <f t="shared" si="7"/>
        <v/>
      </c>
      <c r="S19" s="22" t="str">
        <f t="shared" si="4"/>
        <v/>
      </c>
    </row>
    <row r="20" spans="1:19" x14ac:dyDescent="0.2">
      <c r="A20" s="57" t="str">
        <f t="shared" si="8"/>
        <v xml:space="preserve"> </v>
      </c>
      <c r="B20" s="10"/>
      <c r="C20" s="18"/>
      <c r="D20" s="21" t="str">
        <f>IF(C20&lt;&gt;"",INDEX(Segédlet!$B$5:$B$37,MATCH(C20,Segédlet!$C$5:$C$37,0)),"")</f>
        <v/>
      </c>
      <c r="E20" s="19"/>
      <c r="F20" s="8"/>
      <c r="G20" s="5" t="str">
        <f t="shared" si="5"/>
        <v/>
      </c>
      <c r="H20" s="8" t="str">
        <f t="shared" si="0"/>
        <v/>
      </c>
      <c r="I20" s="8" t="str">
        <f t="shared" si="1"/>
        <v/>
      </c>
      <c r="J20" s="8" t="str">
        <f t="shared" si="2"/>
        <v/>
      </c>
      <c r="K20" s="11"/>
      <c r="L20" s="11" t="str">
        <f t="shared" si="3"/>
        <v/>
      </c>
      <c r="M20" s="20"/>
      <c r="N20" s="6" t="str">
        <f>IF(B20&lt;&gt;"",IF(AND(I20&gt;0,R20&gt;0),(K20+J20-I20)*VLOOKUP(M20,Segédlet!$I$5:$J$12,2,0),(K20+J20)*VLOOKUP(M20,Segédlet!$I$5:$J$12,2,0)),"")</f>
        <v/>
      </c>
      <c r="O20" s="6" t="str">
        <f>IF(B20&lt;&gt;"",IF(G20&lt;=14,G20*J20*VLOOKUP(C20,Segédlet!$C$5:$G$37,4,0),J20*14*VLOOKUP(C20,Segédlet!$C$5:$G$37,4,0)+(G20-14)*J20*VLOOKUP(C20,Segédlet!$C$5:$G$37,5,0)),"")</f>
        <v/>
      </c>
      <c r="P20" s="6" t="str">
        <f>IF(B20&lt;&gt;"",IF(G20&lt;=14,G20*K20*VLOOKUP(C20,Segédlet!$C$5:$G$37,4,0),K20*14*VLOOKUP(C20,Segédlet!$C$5:$G$37,4,0)+(G20-14)*K20*VLOOKUP(C20,Segédlet!$C$5:$G$37,5,0)),"")</f>
        <v/>
      </c>
      <c r="Q20" s="12" t="str">
        <f t="shared" si="6"/>
        <v/>
      </c>
      <c r="R20" s="12" t="str">
        <f t="shared" si="7"/>
        <v/>
      </c>
      <c r="S20" s="22" t="str">
        <f t="shared" si="4"/>
        <v/>
      </c>
    </row>
    <row r="21" spans="1:19" x14ac:dyDescent="0.2">
      <c r="A21" s="57" t="str">
        <f t="shared" si="8"/>
        <v xml:space="preserve"> </v>
      </c>
      <c r="B21" s="10"/>
      <c r="C21" s="18"/>
      <c r="D21" s="21" t="str">
        <f>IF(C21&lt;&gt;"",INDEX(Segédlet!$B$5:$B$37,MATCH(C21,Segédlet!$C$5:$C$37,0)),"")</f>
        <v/>
      </c>
      <c r="E21" s="19"/>
      <c r="F21" s="8"/>
      <c r="G21" s="5" t="str">
        <f t="shared" si="5"/>
        <v/>
      </c>
      <c r="H21" s="8" t="str">
        <f t="shared" si="0"/>
        <v/>
      </c>
      <c r="I21" s="8" t="str">
        <f t="shared" si="1"/>
        <v/>
      </c>
      <c r="J21" s="8" t="str">
        <f t="shared" si="2"/>
        <v/>
      </c>
      <c r="K21" s="11"/>
      <c r="L21" s="11" t="str">
        <f t="shared" si="3"/>
        <v/>
      </c>
      <c r="M21" s="20"/>
      <c r="N21" s="6" t="str">
        <f>IF(B21&lt;&gt;"",IF(AND(I21&gt;0,R21&gt;0),(K21+J21-I21)*VLOOKUP(M21,Segédlet!$I$5:$J$12,2,0),(K21+J21)*VLOOKUP(M21,Segédlet!$I$5:$J$12,2,0)),"")</f>
        <v/>
      </c>
      <c r="O21" s="6" t="str">
        <f>IF(B21&lt;&gt;"",IF(G21&lt;=14,G21*J21*VLOOKUP(C21,Segédlet!$C$5:$G$37,4,0),J21*14*VLOOKUP(C21,Segédlet!$C$5:$G$37,4,0)+(G21-14)*J21*VLOOKUP(C21,Segédlet!$C$5:$G$37,5,0)),"")</f>
        <v/>
      </c>
      <c r="P21" s="6" t="str">
        <f>IF(B21&lt;&gt;"",IF(G21&lt;=14,G21*K21*VLOOKUP(C21,Segédlet!$C$5:$G$37,4,0),K21*14*VLOOKUP(C21,Segédlet!$C$5:$G$37,4,0)+(G21-14)*K21*VLOOKUP(C21,Segédlet!$C$5:$G$37,5,0)),"")</f>
        <v/>
      </c>
      <c r="Q21" s="12" t="str">
        <f t="shared" si="6"/>
        <v/>
      </c>
      <c r="R21" s="12" t="str">
        <f t="shared" si="7"/>
        <v/>
      </c>
      <c r="S21" s="22" t="str">
        <f t="shared" si="4"/>
        <v/>
      </c>
    </row>
    <row r="22" spans="1:19" x14ac:dyDescent="0.2">
      <c r="A22" s="57" t="str">
        <f t="shared" si="8"/>
        <v xml:space="preserve"> </v>
      </c>
      <c r="B22" s="10"/>
      <c r="C22" s="18"/>
      <c r="D22" s="21" t="str">
        <f>IF(C22&lt;&gt;"",INDEX(Segédlet!$B$5:$B$37,MATCH(C22,Segédlet!$C$5:$C$37,0)),"")</f>
        <v/>
      </c>
      <c r="E22" s="19"/>
      <c r="F22" s="8"/>
      <c r="G22" s="5" t="str">
        <f t="shared" si="5"/>
        <v/>
      </c>
      <c r="H22" s="8" t="str">
        <f t="shared" si="0"/>
        <v/>
      </c>
      <c r="I22" s="8" t="str">
        <f t="shared" si="1"/>
        <v/>
      </c>
      <c r="J22" s="8" t="str">
        <f t="shared" si="2"/>
        <v/>
      </c>
      <c r="K22" s="11"/>
      <c r="L22" s="11" t="str">
        <f t="shared" si="3"/>
        <v/>
      </c>
      <c r="M22" s="20"/>
      <c r="N22" s="6" t="str">
        <f>IF(B22&lt;&gt;"",IF(AND(I22&gt;0,R22&gt;0),(K22+J22-I22)*VLOOKUP(M22,Segédlet!$I$5:$J$12,2,0),(K22+J22)*VLOOKUP(M22,Segédlet!$I$5:$J$12,2,0)),"")</f>
        <v/>
      </c>
      <c r="O22" s="6" t="str">
        <f>IF(B22&lt;&gt;"",IF(G22&lt;=14,G22*J22*VLOOKUP(C22,Segédlet!$C$5:$G$37,4,0),J22*14*VLOOKUP(C22,Segédlet!$C$5:$G$37,4,0)+(G22-14)*J22*VLOOKUP(C22,Segédlet!$C$5:$G$37,5,0)),"")</f>
        <v/>
      </c>
      <c r="P22" s="6" t="str">
        <f>IF(B22&lt;&gt;"",IF(G22&lt;=14,G22*K22*VLOOKUP(C22,Segédlet!$C$5:$G$37,4,0),K22*14*VLOOKUP(C22,Segédlet!$C$5:$G$37,4,0)+(G22-14)*K22*VLOOKUP(C22,Segédlet!$C$5:$G$37,5,0)),"")</f>
        <v/>
      </c>
      <c r="Q22" s="12" t="str">
        <f t="shared" si="6"/>
        <v/>
      </c>
      <c r="R22" s="12" t="str">
        <f t="shared" si="7"/>
        <v/>
      </c>
      <c r="S22" s="22" t="str">
        <f t="shared" si="4"/>
        <v/>
      </c>
    </row>
    <row r="23" spans="1:19" x14ac:dyDescent="0.2">
      <c r="A23" s="57" t="str">
        <f t="shared" si="8"/>
        <v xml:space="preserve"> </v>
      </c>
      <c r="B23" s="10"/>
      <c r="C23" s="18"/>
      <c r="D23" s="21" t="str">
        <f>IF(C23&lt;&gt;"",INDEX(Segédlet!$B$5:$B$37,MATCH(C23,Segédlet!$C$5:$C$37,0)),"")</f>
        <v/>
      </c>
      <c r="E23" s="19"/>
      <c r="F23" s="8"/>
      <c r="G23" s="5" t="str">
        <f t="shared" si="5"/>
        <v/>
      </c>
      <c r="H23" s="8" t="str">
        <f t="shared" si="0"/>
        <v/>
      </c>
      <c r="I23" s="8" t="str">
        <f t="shared" si="1"/>
        <v/>
      </c>
      <c r="J23" s="8" t="str">
        <f t="shared" si="2"/>
        <v/>
      </c>
      <c r="K23" s="11"/>
      <c r="L23" s="11" t="str">
        <f t="shared" si="3"/>
        <v/>
      </c>
      <c r="M23" s="20"/>
      <c r="N23" s="6" t="str">
        <f>IF(B23&lt;&gt;"",IF(AND(I23&gt;0,R23&gt;0),(K23+J23-I23)*VLOOKUP(M23,Segédlet!$I$5:$J$12,2,0),(K23+J23)*VLOOKUP(M23,Segédlet!$I$5:$J$12,2,0)),"")</f>
        <v/>
      </c>
      <c r="O23" s="6" t="str">
        <f>IF(B23&lt;&gt;"",IF(G23&lt;=14,G23*J23*VLOOKUP(C23,Segédlet!$C$5:$G$37,4,0),J23*14*VLOOKUP(C23,Segédlet!$C$5:$G$37,4,0)+(G23-14)*J23*VLOOKUP(C23,Segédlet!$C$5:$G$37,5,0)),"")</f>
        <v/>
      </c>
      <c r="P23" s="6" t="str">
        <f>IF(B23&lt;&gt;"",IF(G23&lt;=14,G23*K23*VLOOKUP(C23,Segédlet!$C$5:$G$37,4,0),K23*14*VLOOKUP(C23,Segédlet!$C$5:$G$37,4,0)+(G23-14)*K23*VLOOKUP(C23,Segédlet!$C$5:$G$37,5,0)),"")</f>
        <v/>
      </c>
      <c r="Q23" s="12" t="str">
        <f t="shared" si="6"/>
        <v/>
      </c>
      <c r="R23" s="12" t="str">
        <f t="shared" si="7"/>
        <v/>
      </c>
      <c r="S23" s="22" t="str">
        <f t="shared" si="4"/>
        <v/>
      </c>
    </row>
    <row r="24" spans="1:19" x14ac:dyDescent="0.2">
      <c r="A24" s="57" t="str">
        <f t="shared" si="8"/>
        <v xml:space="preserve"> </v>
      </c>
      <c r="B24" s="10"/>
      <c r="C24" s="18"/>
      <c r="D24" s="21" t="str">
        <f>IF(C24&lt;&gt;"",INDEX(Segédlet!$B$5:$B$37,MATCH(C24,Segédlet!$C$5:$C$37,0)),"")</f>
        <v/>
      </c>
      <c r="E24" s="19"/>
      <c r="F24" s="8"/>
      <c r="G24" s="5" t="str">
        <f t="shared" si="5"/>
        <v/>
      </c>
      <c r="H24" s="8" t="str">
        <f t="shared" si="0"/>
        <v/>
      </c>
      <c r="I24" s="8" t="str">
        <f t="shared" si="1"/>
        <v/>
      </c>
      <c r="J24" s="8" t="str">
        <f t="shared" si="2"/>
        <v/>
      </c>
      <c r="K24" s="11"/>
      <c r="L24" s="11" t="str">
        <f t="shared" si="3"/>
        <v/>
      </c>
      <c r="M24" s="20"/>
      <c r="N24" s="6" t="str">
        <f>IF(B24&lt;&gt;"",IF(AND(I24&gt;0,R24&gt;0),(K24+J24-I24)*VLOOKUP(M24,Segédlet!$I$5:$J$12,2,0),(K24+J24)*VLOOKUP(M24,Segédlet!$I$5:$J$12,2,0)),"")</f>
        <v/>
      </c>
      <c r="O24" s="6" t="str">
        <f>IF(B24&lt;&gt;"",IF(G24&lt;=14,G24*J24*VLOOKUP(C24,Segédlet!$C$5:$G$37,4,0),J24*14*VLOOKUP(C24,Segédlet!$C$5:$G$37,4,0)+(G24-14)*J24*VLOOKUP(C24,Segédlet!$C$5:$G$37,5,0)),"")</f>
        <v/>
      </c>
      <c r="P24" s="6" t="str">
        <f>IF(B24&lt;&gt;"",IF(G24&lt;=14,G24*K24*VLOOKUP(C24,Segédlet!$C$5:$G$37,4,0),K24*14*VLOOKUP(C24,Segédlet!$C$5:$G$37,4,0)+(G24-14)*K24*VLOOKUP(C24,Segédlet!$C$5:$G$37,5,0)),"")</f>
        <v/>
      </c>
      <c r="Q24" s="12" t="str">
        <f t="shared" si="6"/>
        <v/>
      </c>
      <c r="R24" s="12" t="str">
        <f t="shared" si="7"/>
        <v/>
      </c>
      <c r="S24" s="22" t="str">
        <f t="shared" si="4"/>
        <v/>
      </c>
    </row>
    <row r="25" spans="1:19" x14ac:dyDescent="0.2">
      <c r="A25" s="57" t="str">
        <f t="shared" si="8"/>
        <v xml:space="preserve"> </v>
      </c>
      <c r="B25" s="10"/>
      <c r="C25" s="18"/>
      <c r="D25" s="21" t="str">
        <f>IF(C25&lt;&gt;"",INDEX(Segédlet!$B$5:$B$37,MATCH(C25,Segédlet!$C$5:$C$37,0)),"")</f>
        <v/>
      </c>
      <c r="E25" s="19"/>
      <c r="F25" s="8"/>
      <c r="G25" s="5" t="str">
        <f t="shared" si="5"/>
        <v/>
      </c>
      <c r="H25" s="8" t="str">
        <f t="shared" si="0"/>
        <v/>
      </c>
      <c r="I25" s="8" t="str">
        <f t="shared" si="1"/>
        <v/>
      </c>
      <c r="J25" s="8" t="str">
        <f t="shared" si="2"/>
        <v/>
      </c>
      <c r="K25" s="11"/>
      <c r="L25" s="11" t="str">
        <f t="shared" si="3"/>
        <v/>
      </c>
      <c r="M25" s="20"/>
      <c r="N25" s="6" t="str">
        <f>IF(B25&lt;&gt;"",IF(AND(I25&gt;0,R25&gt;0),(K25+J25-I25)*VLOOKUP(M25,Segédlet!$I$5:$J$12,2,0),(K25+J25)*VLOOKUP(M25,Segédlet!$I$5:$J$12,2,0)),"")</f>
        <v/>
      </c>
      <c r="O25" s="6" t="str">
        <f>IF(B25&lt;&gt;"",IF(G25&lt;=14,G25*J25*VLOOKUP(C25,Segédlet!$C$5:$G$37,4,0),J25*14*VLOOKUP(C25,Segédlet!$C$5:$G$37,4,0)+(G25-14)*J25*VLOOKUP(C25,Segédlet!$C$5:$G$37,5,0)),"")</f>
        <v/>
      </c>
      <c r="P25" s="6" t="str">
        <f>IF(B25&lt;&gt;"",IF(G25&lt;=14,G25*K25*VLOOKUP(C25,Segédlet!$C$5:$G$37,4,0),K25*14*VLOOKUP(C25,Segédlet!$C$5:$G$37,4,0)+(G25-14)*K25*VLOOKUP(C25,Segédlet!$C$5:$G$37,5,0)),"")</f>
        <v/>
      </c>
      <c r="Q25" s="12" t="str">
        <f t="shared" si="6"/>
        <v/>
      </c>
      <c r="R25" s="12" t="str">
        <f t="shared" si="7"/>
        <v/>
      </c>
      <c r="S25" s="22" t="str">
        <f t="shared" si="4"/>
        <v/>
      </c>
    </row>
    <row r="26" spans="1:19" x14ac:dyDescent="0.2">
      <c r="A26" s="57" t="str">
        <f t="shared" si="8"/>
        <v xml:space="preserve"> </v>
      </c>
      <c r="B26" s="10"/>
      <c r="C26" s="18"/>
      <c r="D26" s="21" t="str">
        <f>IF(C26&lt;&gt;"",INDEX(Segédlet!$B$5:$B$37,MATCH(C26,Segédlet!$C$5:$C$37,0)),"")</f>
        <v/>
      </c>
      <c r="E26" s="19"/>
      <c r="F26" s="8"/>
      <c r="G26" s="5" t="str">
        <f t="shared" si="5"/>
        <v/>
      </c>
      <c r="H26" s="8" t="str">
        <f t="shared" si="0"/>
        <v/>
      </c>
      <c r="I26" s="8" t="str">
        <f t="shared" si="1"/>
        <v/>
      </c>
      <c r="J26" s="8" t="str">
        <f t="shared" si="2"/>
        <v/>
      </c>
      <c r="K26" s="11"/>
      <c r="L26" s="11" t="str">
        <f t="shared" si="3"/>
        <v/>
      </c>
      <c r="M26" s="20"/>
      <c r="N26" s="6" t="str">
        <f>IF(B26&lt;&gt;"",IF(AND(I26&gt;0,R26&gt;0),(K26+J26-I26)*VLOOKUP(M26,Segédlet!$I$5:$J$12,2,0),(K26+J26)*VLOOKUP(M26,Segédlet!$I$5:$J$12,2,0)),"")</f>
        <v/>
      </c>
      <c r="O26" s="6" t="str">
        <f>IF(B26&lt;&gt;"",IF(G26&lt;=14,G26*J26*VLOOKUP(C26,Segédlet!$C$5:$G$37,4,0),J26*14*VLOOKUP(C26,Segédlet!$C$5:$G$37,4,0)+(G26-14)*J26*VLOOKUP(C26,Segédlet!$C$5:$G$37,5,0)),"")</f>
        <v/>
      </c>
      <c r="P26" s="6" t="str">
        <f>IF(B26&lt;&gt;"",IF(G26&lt;=14,G26*K26*VLOOKUP(C26,Segédlet!$C$5:$G$37,4,0),K26*14*VLOOKUP(C26,Segédlet!$C$5:$G$37,4,0)+(G26-14)*K26*VLOOKUP(C26,Segédlet!$C$5:$G$37,5,0)),"")</f>
        <v/>
      </c>
      <c r="Q26" s="12" t="str">
        <f t="shared" si="6"/>
        <v/>
      </c>
      <c r="R26" s="12" t="str">
        <f t="shared" si="7"/>
        <v/>
      </c>
      <c r="S26" s="22" t="str">
        <f t="shared" si="4"/>
        <v/>
      </c>
    </row>
    <row r="27" spans="1:19" x14ac:dyDescent="0.2">
      <c r="A27" s="57" t="str">
        <f t="shared" si="8"/>
        <v xml:space="preserve"> </v>
      </c>
      <c r="B27" s="10"/>
      <c r="C27" s="18"/>
      <c r="D27" s="21" t="str">
        <f>IF(C27&lt;&gt;"",INDEX(Segédlet!$B$5:$B$37,MATCH(C27,Segédlet!$C$5:$C$37,0)),"")</f>
        <v/>
      </c>
      <c r="E27" s="19"/>
      <c r="F27" s="8"/>
      <c r="G27" s="5" t="str">
        <f t="shared" si="5"/>
        <v/>
      </c>
      <c r="H27" s="8" t="str">
        <f t="shared" si="0"/>
        <v/>
      </c>
      <c r="I27" s="8" t="str">
        <f t="shared" si="1"/>
        <v/>
      </c>
      <c r="J27" s="8" t="str">
        <f t="shared" si="2"/>
        <v/>
      </c>
      <c r="K27" s="11"/>
      <c r="L27" s="11" t="str">
        <f t="shared" si="3"/>
        <v/>
      </c>
      <c r="M27" s="20"/>
      <c r="N27" s="6" t="str">
        <f>IF(B27&lt;&gt;"",IF(AND(I27&gt;0,R27&gt;0),(K27+J27-I27)*VLOOKUP(M27,Segédlet!$I$5:$J$12,2,0),(K27+J27)*VLOOKUP(M27,Segédlet!$I$5:$J$12,2,0)),"")</f>
        <v/>
      </c>
      <c r="O27" s="6" t="str">
        <f>IF(B27&lt;&gt;"",IF(G27&lt;=14,G27*J27*VLOOKUP(C27,Segédlet!$C$5:$G$37,4,0),J27*14*VLOOKUP(C27,Segédlet!$C$5:$G$37,4,0)+(G27-14)*J27*VLOOKUP(C27,Segédlet!$C$5:$G$37,5,0)),"")</f>
        <v/>
      </c>
      <c r="P27" s="6" t="str">
        <f>IF(B27&lt;&gt;"",IF(G27&lt;=14,G27*K27*VLOOKUP(C27,Segédlet!$C$5:$G$37,4,0),K27*14*VLOOKUP(C27,Segédlet!$C$5:$G$37,4,0)+(G27-14)*K27*VLOOKUP(C27,Segédlet!$C$5:$G$37,5,0)),"")</f>
        <v/>
      </c>
      <c r="Q27" s="12" t="str">
        <f t="shared" si="6"/>
        <v/>
      </c>
      <c r="R27" s="12" t="str">
        <f t="shared" si="7"/>
        <v/>
      </c>
      <c r="S27" s="22" t="str">
        <f t="shared" si="4"/>
        <v/>
      </c>
    </row>
    <row r="28" spans="1:19" x14ac:dyDescent="0.2">
      <c r="A28" s="57" t="str">
        <f t="shared" si="8"/>
        <v xml:space="preserve"> </v>
      </c>
      <c r="B28" s="10"/>
      <c r="C28" s="18"/>
      <c r="D28" s="21" t="str">
        <f>IF(C28&lt;&gt;"",INDEX(Segédlet!$B$5:$B$37,MATCH(C28,Segédlet!$C$5:$C$37,0)),"")</f>
        <v/>
      </c>
      <c r="E28" s="19"/>
      <c r="F28" s="8"/>
      <c r="G28" s="5" t="str">
        <f t="shared" si="5"/>
        <v/>
      </c>
      <c r="H28" s="8" t="str">
        <f t="shared" si="0"/>
        <v/>
      </c>
      <c r="I28" s="8" t="str">
        <f t="shared" si="1"/>
        <v/>
      </c>
      <c r="J28" s="8" t="str">
        <f t="shared" si="2"/>
        <v/>
      </c>
      <c r="K28" s="11"/>
      <c r="L28" s="11" t="str">
        <f t="shared" si="3"/>
        <v/>
      </c>
      <c r="M28" s="20"/>
      <c r="N28" s="6" t="str">
        <f>IF(B28&lt;&gt;"",IF(AND(I28&gt;0,R28&gt;0),(K28+J28-I28)*VLOOKUP(M28,Segédlet!$I$5:$J$12,2,0),(K28+J28)*VLOOKUP(M28,Segédlet!$I$5:$J$12,2,0)),"")</f>
        <v/>
      </c>
      <c r="O28" s="6" t="str">
        <f>IF(B28&lt;&gt;"",IF(G28&lt;=14,G28*J28*VLOOKUP(C28,Segédlet!$C$5:$G$37,4,0),J28*14*VLOOKUP(C28,Segédlet!$C$5:$G$37,4,0)+(G28-14)*J28*VLOOKUP(C28,Segédlet!$C$5:$G$37,5,0)),"")</f>
        <v/>
      </c>
      <c r="P28" s="6" t="str">
        <f>IF(B28&lt;&gt;"",IF(G28&lt;=14,G28*K28*VLOOKUP(C28,Segédlet!$C$5:$G$37,4,0),K28*14*VLOOKUP(C28,Segédlet!$C$5:$G$37,4,0)+(G28-14)*K28*VLOOKUP(C28,Segédlet!$C$5:$G$37,5,0)),"")</f>
        <v/>
      </c>
      <c r="Q28" s="12" t="str">
        <f t="shared" si="6"/>
        <v/>
      </c>
      <c r="R28" s="12" t="str">
        <f t="shared" si="7"/>
        <v/>
      </c>
      <c r="S28" s="22" t="str">
        <f t="shared" si="4"/>
        <v/>
      </c>
    </row>
    <row r="29" spans="1:19" x14ac:dyDescent="0.2">
      <c r="A29" s="57" t="str">
        <f t="shared" si="8"/>
        <v xml:space="preserve"> </v>
      </c>
      <c r="B29" s="10"/>
      <c r="C29" s="18"/>
      <c r="D29" s="21" t="str">
        <f>IF(C29&lt;&gt;"",INDEX(Segédlet!$B$5:$B$37,MATCH(C29,Segédlet!$C$5:$C$37,0)),"")</f>
        <v/>
      </c>
      <c r="E29" s="19"/>
      <c r="F29" s="8"/>
      <c r="G29" s="5" t="str">
        <f t="shared" si="5"/>
        <v/>
      </c>
      <c r="H29" s="8" t="str">
        <f t="shared" si="0"/>
        <v/>
      </c>
      <c r="I29" s="8" t="str">
        <f t="shared" si="1"/>
        <v/>
      </c>
      <c r="J29" s="8" t="str">
        <f t="shared" si="2"/>
        <v/>
      </c>
      <c r="K29" s="11"/>
      <c r="L29" s="11" t="str">
        <f t="shared" si="3"/>
        <v/>
      </c>
      <c r="M29" s="20"/>
      <c r="N29" s="6" t="str">
        <f>IF(B29&lt;&gt;"",IF(AND(I29&gt;0,R29&gt;0),(K29+J29-I29)*VLOOKUP(M29,Segédlet!$I$5:$J$12,2,0),(K29+J29)*VLOOKUP(M29,Segédlet!$I$5:$J$12,2,0)),"")</f>
        <v/>
      </c>
      <c r="O29" s="6" t="str">
        <f>IF(B29&lt;&gt;"",IF(G29&lt;=14,G29*J29*VLOOKUP(C29,Segédlet!$C$5:$G$37,4,0),J29*14*VLOOKUP(C29,Segédlet!$C$5:$G$37,4,0)+(G29-14)*J29*VLOOKUP(C29,Segédlet!$C$5:$G$37,5,0)),"")</f>
        <v/>
      </c>
      <c r="P29" s="6" t="str">
        <f>IF(B29&lt;&gt;"",IF(G29&lt;=14,G29*K29*VLOOKUP(C29,Segédlet!$C$5:$G$37,4,0),K29*14*VLOOKUP(C29,Segédlet!$C$5:$G$37,4,0)+(G29-14)*K29*VLOOKUP(C29,Segédlet!$C$5:$G$37,5,0)),"")</f>
        <v/>
      </c>
      <c r="Q29" s="12" t="str">
        <f t="shared" si="6"/>
        <v/>
      </c>
      <c r="R29" s="12" t="str">
        <f t="shared" si="7"/>
        <v/>
      </c>
      <c r="S29" s="22" t="str">
        <f t="shared" si="4"/>
        <v/>
      </c>
    </row>
    <row r="30" spans="1:19" x14ac:dyDescent="0.2">
      <c r="A30" s="57" t="str">
        <f t="shared" si="8"/>
        <v xml:space="preserve"> </v>
      </c>
      <c r="B30" s="10"/>
      <c r="C30" s="18"/>
      <c r="D30" s="21" t="str">
        <f>IF(C30&lt;&gt;"",INDEX(Segédlet!$B$5:$B$37,MATCH(C30,Segédlet!$C$5:$C$37,0)),"")</f>
        <v/>
      </c>
      <c r="E30" s="19"/>
      <c r="F30" s="8"/>
      <c r="G30" s="5" t="str">
        <f t="shared" si="5"/>
        <v/>
      </c>
      <c r="H30" s="8" t="str">
        <f t="shared" si="0"/>
        <v/>
      </c>
      <c r="I30" s="8" t="str">
        <f t="shared" si="1"/>
        <v/>
      </c>
      <c r="J30" s="8" t="str">
        <f t="shared" si="2"/>
        <v/>
      </c>
      <c r="K30" s="11"/>
      <c r="L30" s="11" t="str">
        <f t="shared" si="3"/>
        <v/>
      </c>
      <c r="M30" s="20"/>
      <c r="N30" s="6" t="str">
        <f>IF(B30&lt;&gt;"",IF(AND(I30&gt;0,R30&gt;0),(K30+J30-I30)*VLOOKUP(M30,Segédlet!$I$5:$J$12,2,0),(K30+J30)*VLOOKUP(M30,Segédlet!$I$5:$J$12,2,0)),"")</f>
        <v/>
      </c>
      <c r="O30" s="6" t="str">
        <f>IF(B30&lt;&gt;"",IF(G30&lt;=14,G30*J30*VLOOKUP(C30,Segédlet!$C$5:$G$37,4,0),J30*14*VLOOKUP(C30,Segédlet!$C$5:$G$37,4,0)+(G30-14)*J30*VLOOKUP(C30,Segédlet!$C$5:$G$37,5,0)),"")</f>
        <v/>
      </c>
      <c r="P30" s="6" t="str">
        <f>IF(B30&lt;&gt;"",IF(G30&lt;=14,G30*K30*VLOOKUP(C30,Segédlet!$C$5:$G$37,4,0),K30*14*VLOOKUP(C30,Segédlet!$C$5:$G$37,4,0)+(G30-14)*K30*VLOOKUP(C30,Segédlet!$C$5:$G$37,5,0)),"")</f>
        <v/>
      </c>
      <c r="Q30" s="12" t="str">
        <f t="shared" si="6"/>
        <v/>
      </c>
      <c r="R30" s="12" t="str">
        <f t="shared" si="7"/>
        <v/>
      </c>
      <c r="S30" s="22" t="str">
        <f t="shared" si="4"/>
        <v/>
      </c>
    </row>
    <row r="31" spans="1:19" x14ac:dyDescent="0.2">
      <c r="A31" s="57" t="str">
        <f t="shared" si="8"/>
        <v xml:space="preserve"> </v>
      </c>
      <c r="B31" s="10"/>
      <c r="C31" s="18"/>
      <c r="D31" s="21" t="str">
        <f>IF(C31&lt;&gt;"",INDEX(Segédlet!$B$5:$B$37,MATCH(C31,Segédlet!$C$5:$C$37,0)),"")</f>
        <v/>
      </c>
      <c r="E31" s="19"/>
      <c r="F31" s="8"/>
      <c r="G31" s="5" t="str">
        <f t="shared" si="5"/>
        <v/>
      </c>
      <c r="H31" s="8" t="str">
        <f t="shared" si="0"/>
        <v/>
      </c>
      <c r="I31" s="8" t="str">
        <f t="shared" si="1"/>
        <v/>
      </c>
      <c r="J31" s="8" t="str">
        <f t="shared" si="2"/>
        <v/>
      </c>
      <c r="K31" s="11"/>
      <c r="L31" s="11" t="str">
        <f t="shared" si="3"/>
        <v/>
      </c>
      <c r="M31" s="20"/>
      <c r="N31" s="6" t="str">
        <f>IF(B31&lt;&gt;"",IF(AND(I31&gt;0,R31&gt;0),(K31+J31-I31)*VLOOKUP(M31,Segédlet!$I$5:$J$12,2,0),(K31+J31)*VLOOKUP(M31,Segédlet!$I$5:$J$12,2,0)),"")</f>
        <v/>
      </c>
      <c r="O31" s="6" t="str">
        <f>IF(B31&lt;&gt;"",IF(G31&lt;=14,G31*J31*VLOOKUP(C31,Segédlet!$C$5:$G$37,4,0),J31*14*VLOOKUP(C31,Segédlet!$C$5:$G$37,4,0)+(G31-14)*J31*VLOOKUP(C31,Segédlet!$C$5:$G$37,5,0)),"")</f>
        <v/>
      </c>
      <c r="P31" s="6" t="str">
        <f>IF(B31&lt;&gt;"",IF(G31&lt;=14,G31*K31*VLOOKUP(C31,Segédlet!$C$5:$G$37,4,0),K31*14*VLOOKUP(C31,Segédlet!$C$5:$G$37,4,0)+(G31-14)*K31*VLOOKUP(C31,Segédlet!$C$5:$G$37,5,0)),"")</f>
        <v/>
      </c>
      <c r="Q31" s="12" t="str">
        <f t="shared" si="6"/>
        <v/>
      </c>
      <c r="R31" s="12" t="str">
        <f t="shared" si="7"/>
        <v/>
      </c>
      <c r="S31" s="22" t="str">
        <f t="shared" si="4"/>
        <v/>
      </c>
    </row>
    <row r="32" spans="1:19" x14ac:dyDescent="0.2">
      <c r="A32" s="57" t="str">
        <f t="shared" si="8"/>
        <v xml:space="preserve"> </v>
      </c>
      <c r="B32" s="10"/>
      <c r="C32" s="18"/>
      <c r="D32" s="21" t="str">
        <f>IF(C32&lt;&gt;"",INDEX(Segédlet!$B$5:$B$37,MATCH(C32,Segédlet!$C$5:$C$37,0)),"")</f>
        <v/>
      </c>
      <c r="E32" s="19"/>
      <c r="F32" s="8"/>
      <c r="G32" s="5" t="str">
        <f t="shared" si="5"/>
        <v/>
      </c>
      <c r="H32" s="8" t="str">
        <f t="shared" si="0"/>
        <v/>
      </c>
      <c r="I32" s="8" t="str">
        <f t="shared" si="1"/>
        <v/>
      </c>
      <c r="J32" s="8" t="str">
        <f t="shared" si="2"/>
        <v/>
      </c>
      <c r="K32" s="11"/>
      <c r="L32" s="11" t="str">
        <f t="shared" si="3"/>
        <v/>
      </c>
      <c r="M32" s="20"/>
      <c r="N32" s="6" t="str">
        <f>IF(B32&lt;&gt;"",IF(AND(I32&gt;0,R32&gt;0),(K32+J32-I32)*VLOOKUP(M32,Segédlet!$I$5:$J$12,2,0),(K32+J32)*VLOOKUP(M32,Segédlet!$I$5:$J$12,2,0)),"")</f>
        <v/>
      </c>
      <c r="O32" s="6" t="str">
        <f>IF(B32&lt;&gt;"",IF(G32&lt;=14,G32*J32*VLOOKUP(C32,Segédlet!$C$5:$G$37,4,0),J32*14*VLOOKUP(C32,Segédlet!$C$5:$G$37,4,0)+(G32-14)*J32*VLOOKUP(C32,Segédlet!$C$5:$G$37,5,0)),"")</f>
        <v/>
      </c>
      <c r="P32" s="6" t="str">
        <f>IF(B32&lt;&gt;"",IF(G32&lt;=14,G32*K32*VLOOKUP(C32,Segédlet!$C$5:$G$37,4,0),K32*14*VLOOKUP(C32,Segédlet!$C$5:$G$37,4,0)+(G32-14)*K32*VLOOKUP(C32,Segédlet!$C$5:$G$37,5,0)),"")</f>
        <v/>
      </c>
      <c r="Q32" s="12" t="str">
        <f t="shared" si="6"/>
        <v/>
      </c>
      <c r="R32" s="12" t="str">
        <f t="shared" si="7"/>
        <v/>
      </c>
      <c r="S32" s="22" t="str">
        <f t="shared" si="4"/>
        <v/>
      </c>
    </row>
    <row r="33" spans="1:19" x14ac:dyDescent="0.2">
      <c r="A33" s="57" t="str">
        <f t="shared" si="8"/>
        <v xml:space="preserve"> </v>
      </c>
      <c r="B33" s="10"/>
      <c r="C33" s="18"/>
      <c r="D33" s="21" t="str">
        <f>IF(C33&lt;&gt;"",INDEX(Segédlet!$B$5:$B$37,MATCH(C33,Segédlet!$C$5:$C$37,0)),"")</f>
        <v/>
      </c>
      <c r="E33" s="19"/>
      <c r="F33" s="8"/>
      <c r="G33" s="5" t="str">
        <f t="shared" si="5"/>
        <v/>
      </c>
      <c r="H33" s="8" t="str">
        <f t="shared" si="0"/>
        <v/>
      </c>
      <c r="I33" s="8" t="str">
        <f t="shared" si="1"/>
        <v/>
      </c>
      <c r="J33" s="8" t="str">
        <f t="shared" si="2"/>
        <v/>
      </c>
      <c r="K33" s="11"/>
      <c r="L33" s="11" t="str">
        <f t="shared" si="3"/>
        <v/>
      </c>
      <c r="M33" s="20"/>
      <c r="N33" s="6" t="str">
        <f>IF(B33&lt;&gt;"",IF(AND(I33&gt;0,R33&gt;0),(K33+J33-I33)*VLOOKUP(M33,Segédlet!$I$5:$J$12,2,0),(K33+J33)*VLOOKUP(M33,Segédlet!$I$5:$J$12,2,0)),"")</f>
        <v/>
      </c>
      <c r="O33" s="6" t="str">
        <f>IF(B33&lt;&gt;"",IF(G33&lt;=14,G33*J33*VLOOKUP(C33,Segédlet!$C$5:$G$37,4,0),J33*14*VLOOKUP(C33,Segédlet!$C$5:$G$37,4,0)+(G33-14)*J33*VLOOKUP(C33,Segédlet!$C$5:$G$37,5,0)),"")</f>
        <v/>
      </c>
      <c r="P33" s="6" t="str">
        <f>IF(B33&lt;&gt;"",IF(G33&lt;=14,G33*K33*VLOOKUP(C33,Segédlet!$C$5:$G$37,4,0),K33*14*VLOOKUP(C33,Segédlet!$C$5:$G$37,4,0)+(G33-14)*K33*VLOOKUP(C33,Segédlet!$C$5:$G$37,5,0)),"")</f>
        <v/>
      </c>
      <c r="Q33" s="12" t="str">
        <f t="shared" si="6"/>
        <v/>
      </c>
      <c r="R33" s="12" t="str">
        <f t="shared" si="7"/>
        <v/>
      </c>
      <c r="S33" s="22" t="str">
        <f t="shared" si="4"/>
        <v/>
      </c>
    </row>
    <row r="34" spans="1:19" x14ac:dyDescent="0.2">
      <c r="A34" s="57" t="str">
        <f t="shared" si="8"/>
        <v xml:space="preserve"> </v>
      </c>
      <c r="B34" s="10"/>
      <c r="C34" s="18"/>
      <c r="D34" s="21" t="str">
        <f>IF(C34&lt;&gt;"",INDEX(Segédlet!$B$5:$B$37,MATCH(C34,Segédlet!$C$5:$C$37,0)),"")</f>
        <v/>
      </c>
      <c r="E34" s="19"/>
      <c r="F34" s="8"/>
      <c r="G34" s="5" t="str">
        <f t="shared" si="5"/>
        <v/>
      </c>
      <c r="H34" s="8" t="str">
        <f t="shared" si="0"/>
        <v/>
      </c>
      <c r="I34" s="8" t="str">
        <f t="shared" si="1"/>
        <v/>
      </c>
      <c r="J34" s="8" t="str">
        <f t="shared" si="2"/>
        <v/>
      </c>
      <c r="K34" s="11"/>
      <c r="L34" s="11" t="str">
        <f t="shared" si="3"/>
        <v/>
      </c>
      <c r="M34" s="20"/>
      <c r="N34" s="6" t="str">
        <f>IF(B34&lt;&gt;"",IF(AND(I34&gt;0,R34&gt;0),(K34+J34-I34)*VLOOKUP(M34,Segédlet!$I$5:$J$12,2,0),(K34+J34)*VLOOKUP(M34,Segédlet!$I$5:$J$12,2,0)),"")</f>
        <v/>
      </c>
      <c r="O34" s="6" t="str">
        <f>IF(B34&lt;&gt;"",IF(G34&lt;=14,G34*J34*VLOOKUP(C34,Segédlet!$C$5:$G$37,4,0),J34*14*VLOOKUP(C34,Segédlet!$C$5:$G$37,4,0)+(G34-14)*J34*VLOOKUP(C34,Segédlet!$C$5:$G$37,5,0)),"")</f>
        <v/>
      </c>
      <c r="P34" s="6" t="str">
        <f>IF(B34&lt;&gt;"",IF(G34&lt;=14,G34*K34*VLOOKUP(C34,Segédlet!$C$5:$G$37,4,0),K34*14*VLOOKUP(C34,Segédlet!$C$5:$G$37,4,0)+(G34-14)*K34*VLOOKUP(C34,Segédlet!$C$5:$G$37,5,0)),"")</f>
        <v/>
      </c>
      <c r="Q34" s="12" t="str">
        <f t="shared" si="6"/>
        <v/>
      </c>
      <c r="R34" s="12" t="str">
        <f t="shared" si="7"/>
        <v/>
      </c>
      <c r="S34" s="22" t="str">
        <f t="shared" si="4"/>
        <v/>
      </c>
    </row>
    <row r="35" spans="1:19" x14ac:dyDescent="0.2">
      <c r="A35" s="57" t="str">
        <f t="shared" si="8"/>
        <v xml:space="preserve"> </v>
      </c>
      <c r="B35" s="10"/>
      <c r="C35" s="18"/>
      <c r="D35" s="21" t="str">
        <f>IF(C35&lt;&gt;"",INDEX(Segédlet!$B$5:$B$37,MATCH(C35,Segédlet!$C$5:$C$37,0)),"")</f>
        <v/>
      </c>
      <c r="E35" s="19"/>
      <c r="F35" s="8"/>
      <c r="G35" s="5" t="str">
        <f t="shared" si="5"/>
        <v/>
      </c>
      <c r="H35" s="8" t="str">
        <f t="shared" si="0"/>
        <v/>
      </c>
      <c r="I35" s="8" t="str">
        <f t="shared" si="1"/>
        <v/>
      </c>
      <c r="J35" s="8" t="str">
        <f t="shared" si="2"/>
        <v/>
      </c>
      <c r="K35" s="11"/>
      <c r="L35" s="11" t="str">
        <f t="shared" si="3"/>
        <v/>
      </c>
      <c r="M35" s="20"/>
      <c r="N35" s="6" t="str">
        <f>IF(B35&lt;&gt;"",IF(AND(I35&gt;0,R35&gt;0),(K35+J35-I35)*VLOOKUP(M35,Segédlet!$I$5:$J$12,2,0),(K35+J35)*VLOOKUP(M35,Segédlet!$I$5:$J$12,2,0)),"")</f>
        <v/>
      </c>
      <c r="O35" s="6" t="str">
        <f>IF(B35&lt;&gt;"",IF(G35&lt;=14,G35*J35*VLOOKUP(C35,Segédlet!$C$5:$G$37,4,0),J35*14*VLOOKUP(C35,Segédlet!$C$5:$G$37,4,0)+(G35-14)*J35*VLOOKUP(C35,Segédlet!$C$5:$G$37,5,0)),"")</f>
        <v/>
      </c>
      <c r="P35" s="6" t="str">
        <f>IF(B35&lt;&gt;"",IF(G35&lt;=14,G35*K35*VLOOKUP(C35,Segédlet!$C$5:$G$37,4,0),K35*14*VLOOKUP(C35,Segédlet!$C$5:$G$37,4,0)+(G35-14)*K35*VLOOKUP(C35,Segédlet!$C$5:$G$37,5,0)),"")</f>
        <v/>
      </c>
      <c r="Q35" s="12" t="str">
        <f t="shared" si="6"/>
        <v/>
      </c>
      <c r="R35" s="12" t="str">
        <f t="shared" si="7"/>
        <v/>
      </c>
      <c r="S35" s="22" t="str">
        <f t="shared" si="4"/>
        <v/>
      </c>
    </row>
    <row r="36" spans="1:19" x14ac:dyDescent="0.2">
      <c r="A36" s="57" t="str">
        <f t="shared" si="8"/>
        <v xml:space="preserve"> </v>
      </c>
      <c r="B36" s="10"/>
      <c r="C36" s="18"/>
      <c r="D36" s="21" t="str">
        <f>IF(C36&lt;&gt;"",INDEX(Segédlet!$B$5:$B$37,MATCH(C36,Segédlet!$C$5:$C$37,0)),"")</f>
        <v/>
      </c>
      <c r="E36" s="19"/>
      <c r="F36" s="8"/>
      <c r="G36" s="5" t="str">
        <f t="shared" si="5"/>
        <v/>
      </c>
      <c r="H36" s="8" t="str">
        <f t="shared" si="0"/>
        <v/>
      </c>
      <c r="I36" s="8" t="str">
        <f t="shared" si="1"/>
        <v/>
      </c>
      <c r="J36" s="8" t="str">
        <f t="shared" si="2"/>
        <v/>
      </c>
      <c r="K36" s="11"/>
      <c r="L36" s="11" t="str">
        <f t="shared" si="3"/>
        <v/>
      </c>
      <c r="M36" s="20"/>
      <c r="N36" s="6" t="str">
        <f>IF(B36&lt;&gt;"",IF(AND(I36&gt;0,R36&gt;0),(K36+J36-I36)*VLOOKUP(M36,Segédlet!$I$5:$J$12,2,0),(K36+J36)*VLOOKUP(M36,Segédlet!$I$5:$J$12,2,0)),"")</f>
        <v/>
      </c>
      <c r="O36" s="6" t="str">
        <f>IF(B36&lt;&gt;"",IF(G36&lt;=14,G36*J36*VLOOKUP(C36,Segédlet!$C$5:$G$37,4,0),J36*14*VLOOKUP(C36,Segédlet!$C$5:$G$37,4,0)+(G36-14)*J36*VLOOKUP(C36,Segédlet!$C$5:$G$37,5,0)),"")</f>
        <v/>
      </c>
      <c r="P36" s="6" t="str">
        <f>IF(B36&lt;&gt;"",IF(G36&lt;=14,G36*K36*VLOOKUP(C36,Segédlet!$C$5:$G$37,4,0),K36*14*VLOOKUP(C36,Segédlet!$C$5:$G$37,4,0)+(G36-14)*K36*VLOOKUP(C36,Segédlet!$C$5:$G$37,5,0)),"")</f>
        <v/>
      </c>
      <c r="Q36" s="12" t="str">
        <f t="shared" si="6"/>
        <v/>
      </c>
      <c r="R36" s="12" t="str">
        <f t="shared" si="7"/>
        <v/>
      </c>
      <c r="S36" s="22" t="str">
        <f t="shared" si="4"/>
        <v/>
      </c>
    </row>
    <row r="37" spans="1:19" x14ac:dyDescent="0.2">
      <c r="A37" s="57" t="str">
        <f t="shared" si="8"/>
        <v xml:space="preserve"> </v>
      </c>
      <c r="B37" s="10"/>
      <c r="C37" s="18"/>
      <c r="D37" s="21" t="str">
        <f>IF(C37&lt;&gt;"",INDEX(Segédlet!$B$5:$B$37,MATCH(C37,Segédlet!$C$5:$C$37,0)),"")</f>
        <v/>
      </c>
      <c r="E37" s="19"/>
      <c r="F37" s="8"/>
      <c r="G37" s="5" t="str">
        <f t="shared" si="5"/>
        <v/>
      </c>
      <c r="H37" s="8" t="str">
        <f t="shared" si="0"/>
        <v/>
      </c>
      <c r="I37" s="8" t="str">
        <f t="shared" si="1"/>
        <v/>
      </c>
      <c r="J37" s="8" t="str">
        <f t="shared" si="2"/>
        <v/>
      </c>
      <c r="K37" s="11"/>
      <c r="L37" s="11" t="str">
        <f t="shared" si="3"/>
        <v/>
      </c>
      <c r="M37" s="20"/>
      <c r="N37" s="6" t="str">
        <f>IF(B37&lt;&gt;"",IF(AND(I37&gt;0,R37&gt;0),(K37+J37-I37)*VLOOKUP(M37,Segédlet!$I$5:$J$12,2,0),(K37+J37)*VLOOKUP(M37,Segédlet!$I$5:$J$12,2,0)),"")</f>
        <v/>
      </c>
      <c r="O37" s="6" t="str">
        <f>IF(B37&lt;&gt;"",IF(G37&lt;=14,G37*J37*VLOOKUP(C37,Segédlet!$C$5:$G$37,4,0),J37*14*VLOOKUP(C37,Segédlet!$C$5:$G$37,4,0)+(G37-14)*J37*VLOOKUP(C37,Segédlet!$C$5:$G$37,5,0)),"")</f>
        <v/>
      </c>
      <c r="P37" s="6" t="str">
        <f>IF(B37&lt;&gt;"",IF(G37&lt;=14,G37*K37*VLOOKUP(C37,Segédlet!$C$5:$G$37,4,0),K37*14*VLOOKUP(C37,Segédlet!$C$5:$G$37,4,0)+(G37-14)*K37*VLOOKUP(C37,Segédlet!$C$5:$G$37,5,0)),"")</f>
        <v/>
      </c>
      <c r="Q37" s="12" t="str">
        <f t="shared" si="6"/>
        <v/>
      </c>
      <c r="R37" s="12" t="str">
        <f t="shared" si="7"/>
        <v/>
      </c>
      <c r="S37" s="22" t="str">
        <f t="shared" si="4"/>
        <v/>
      </c>
    </row>
    <row r="38" spans="1:19" x14ac:dyDescent="0.2">
      <c r="A38" s="57" t="str">
        <f t="shared" si="8"/>
        <v xml:space="preserve"> </v>
      </c>
      <c r="B38" s="10"/>
      <c r="C38" s="18"/>
      <c r="D38" s="21" t="str">
        <f>IF(C38&lt;&gt;"",INDEX(Segédlet!$B$5:$B$37,MATCH(C38,Segédlet!$C$5:$C$37,0)),"")</f>
        <v/>
      </c>
      <c r="E38" s="19"/>
      <c r="F38" s="8"/>
      <c r="G38" s="5" t="str">
        <f t="shared" si="5"/>
        <v/>
      </c>
      <c r="H38" s="8" t="str">
        <f t="shared" si="0"/>
        <v/>
      </c>
      <c r="I38" s="8" t="str">
        <f t="shared" si="1"/>
        <v/>
      </c>
      <c r="J38" s="8" t="str">
        <f t="shared" si="2"/>
        <v/>
      </c>
      <c r="K38" s="11"/>
      <c r="L38" s="11" t="str">
        <f t="shared" si="3"/>
        <v/>
      </c>
      <c r="M38" s="20"/>
      <c r="N38" s="6" t="str">
        <f>IF(B38&lt;&gt;"",IF(AND(I38&gt;0,R38&gt;0),(K38+J38-I38)*VLOOKUP(M38,Segédlet!$I$5:$J$12,2,0),(K38+J38)*VLOOKUP(M38,Segédlet!$I$5:$J$12,2,0)),"")</f>
        <v/>
      </c>
      <c r="O38" s="6" t="str">
        <f>IF(B38&lt;&gt;"",IF(G38&lt;=14,G38*J38*VLOOKUP(C38,Segédlet!$C$5:$G$37,4,0),J38*14*VLOOKUP(C38,Segédlet!$C$5:$G$37,4,0)+(G38-14)*J38*VLOOKUP(C38,Segédlet!$C$5:$G$37,5,0)),"")</f>
        <v/>
      </c>
      <c r="P38" s="6" t="str">
        <f>IF(B38&lt;&gt;"",IF(G38&lt;=14,G38*K38*VLOOKUP(C38,Segédlet!$C$5:$G$37,4,0),K38*14*VLOOKUP(C38,Segédlet!$C$5:$G$37,4,0)+(G38-14)*K38*VLOOKUP(C38,Segédlet!$C$5:$G$37,5,0)),"")</f>
        <v/>
      </c>
      <c r="Q38" s="12" t="str">
        <f t="shared" si="6"/>
        <v/>
      </c>
      <c r="R38" s="12" t="str">
        <f t="shared" si="7"/>
        <v/>
      </c>
      <c r="S38" s="22" t="str">
        <f t="shared" si="4"/>
        <v/>
      </c>
    </row>
    <row r="39" spans="1:19" x14ac:dyDescent="0.2">
      <c r="A39" s="57" t="str">
        <f t="shared" si="8"/>
        <v xml:space="preserve"> </v>
      </c>
      <c r="B39" s="10"/>
      <c r="C39" s="18"/>
      <c r="D39" s="21" t="str">
        <f>IF(C39&lt;&gt;"",INDEX(Segédlet!$B$5:$B$37,MATCH(C39,Segédlet!$C$5:$C$37,0)),"")</f>
        <v/>
      </c>
      <c r="E39" s="19"/>
      <c r="F39" s="8"/>
      <c r="G39" s="5" t="str">
        <f t="shared" si="5"/>
        <v/>
      </c>
      <c r="H39" s="8" t="str">
        <f t="shared" si="0"/>
        <v/>
      </c>
      <c r="I39" s="8" t="str">
        <f t="shared" si="1"/>
        <v/>
      </c>
      <c r="J39" s="8" t="str">
        <f t="shared" si="2"/>
        <v/>
      </c>
      <c r="K39" s="11"/>
      <c r="L39" s="11" t="str">
        <f t="shared" si="3"/>
        <v/>
      </c>
      <c r="M39" s="20"/>
      <c r="N39" s="6" t="str">
        <f>IF(B39&lt;&gt;"",IF(AND(I39&gt;0,R39&gt;0),(K39+J39-I39)*VLOOKUP(M39,Segédlet!$I$5:$J$12,2,0),(K39+J39)*VLOOKUP(M39,Segédlet!$I$5:$J$12,2,0)),"")</f>
        <v/>
      </c>
      <c r="O39" s="6" t="str">
        <f>IF(B39&lt;&gt;"",IF(G39&lt;=14,G39*J39*VLOOKUP(C39,Segédlet!$C$5:$G$37,4,0),J39*14*VLOOKUP(C39,Segédlet!$C$5:$G$37,4,0)+(G39-14)*J39*VLOOKUP(C39,Segédlet!$C$5:$G$37,5,0)),"")</f>
        <v/>
      </c>
      <c r="P39" s="6" t="str">
        <f>IF(B39&lt;&gt;"",IF(G39&lt;=14,G39*K39*VLOOKUP(C39,Segédlet!$C$5:$G$37,4,0),K39*14*VLOOKUP(C39,Segédlet!$C$5:$G$37,4,0)+(G39-14)*K39*VLOOKUP(C39,Segédlet!$C$5:$G$37,5,0)),"")</f>
        <v/>
      </c>
      <c r="Q39" s="12" t="str">
        <f t="shared" si="6"/>
        <v/>
      </c>
      <c r="R39" s="12" t="str">
        <f t="shared" si="7"/>
        <v/>
      </c>
      <c r="S39" s="22" t="str">
        <f t="shared" ref="S39:S70" si="9">IF(B39&lt;&gt;"",SUM(N39:R39),"")</f>
        <v/>
      </c>
    </row>
    <row r="40" spans="1:19" x14ac:dyDescent="0.2">
      <c r="A40" s="57" t="str">
        <f t="shared" si="8"/>
        <v xml:space="preserve"> </v>
      </c>
      <c r="B40" s="10"/>
      <c r="C40" s="18"/>
      <c r="D40" s="21" t="str">
        <f>IF(C40&lt;&gt;"",INDEX(Segédlet!$B$5:$B$37,MATCH(C40,Segédlet!$C$5:$C$37,0)),"")</f>
        <v/>
      </c>
      <c r="E40" s="19"/>
      <c r="F40" s="8"/>
      <c r="G40" s="5" t="str">
        <f t="shared" si="5"/>
        <v/>
      </c>
      <c r="H40" s="8" t="str">
        <f t="shared" si="0"/>
        <v/>
      </c>
      <c r="I40" s="8" t="str">
        <f t="shared" si="1"/>
        <v/>
      </c>
      <c r="J40" s="8" t="str">
        <f t="shared" si="2"/>
        <v/>
      </c>
      <c r="K40" s="11"/>
      <c r="L40" s="11" t="str">
        <f t="shared" si="3"/>
        <v/>
      </c>
      <c r="M40" s="20"/>
      <c r="N40" s="6" t="str">
        <f>IF(B40&lt;&gt;"",IF(AND(I40&gt;0,R40&gt;0),(K40+J40-I40)*VLOOKUP(M40,Segédlet!$I$5:$J$12,2,0),(K40+J40)*VLOOKUP(M40,Segédlet!$I$5:$J$12,2,0)),"")</f>
        <v/>
      </c>
      <c r="O40" s="6" t="str">
        <f>IF(B40&lt;&gt;"",IF(G40&lt;=14,G40*J40*VLOOKUP(C40,Segédlet!$C$5:$G$37,4,0),J40*14*VLOOKUP(C40,Segédlet!$C$5:$G$37,4,0)+(G40-14)*J40*VLOOKUP(C40,Segédlet!$C$5:$G$37,5,0)),"")</f>
        <v/>
      </c>
      <c r="P40" s="6" t="str">
        <f>IF(B40&lt;&gt;"",IF(G40&lt;=14,G40*K40*VLOOKUP(C40,Segédlet!$C$5:$G$37,4,0),K40*14*VLOOKUP(C40,Segédlet!$C$5:$G$37,4,0)+(G40-14)*K40*VLOOKUP(C40,Segédlet!$C$5:$G$37,5,0)),"")</f>
        <v/>
      </c>
      <c r="Q40" s="12" t="str">
        <f t="shared" si="6"/>
        <v/>
      </c>
      <c r="R40" s="12" t="str">
        <f t="shared" si="7"/>
        <v/>
      </c>
      <c r="S40" s="22" t="str">
        <f t="shared" si="9"/>
        <v/>
      </c>
    </row>
    <row r="41" spans="1:19" x14ac:dyDescent="0.2">
      <c r="A41" s="57" t="str">
        <f t="shared" si="8"/>
        <v xml:space="preserve"> </v>
      </c>
      <c r="B41" s="10"/>
      <c r="C41" s="18"/>
      <c r="D41" s="21" t="str">
        <f>IF(C41&lt;&gt;"",INDEX(Segédlet!$B$5:$B$37,MATCH(C41,Segédlet!$C$5:$C$37,0)),"")</f>
        <v/>
      </c>
      <c r="E41" s="19"/>
      <c r="F41" s="8"/>
      <c r="G41" s="5" t="str">
        <f t="shared" si="5"/>
        <v/>
      </c>
      <c r="H41" s="8" t="str">
        <f t="shared" si="0"/>
        <v/>
      </c>
      <c r="I41" s="8" t="str">
        <f t="shared" si="1"/>
        <v/>
      </c>
      <c r="J41" s="8" t="str">
        <f t="shared" si="2"/>
        <v/>
      </c>
      <c r="K41" s="11"/>
      <c r="L41" s="11" t="str">
        <f t="shared" si="3"/>
        <v/>
      </c>
      <c r="M41" s="20"/>
      <c r="N41" s="6" t="str">
        <f>IF(B41&lt;&gt;"",IF(AND(I41&gt;0,R41&gt;0),(K41+J41-I41)*VLOOKUP(M41,Segédlet!$I$5:$J$12,2,0),(K41+J41)*VLOOKUP(M41,Segédlet!$I$5:$J$12,2,0)),"")</f>
        <v/>
      </c>
      <c r="O41" s="6" t="str">
        <f>IF(B41&lt;&gt;"",IF(G41&lt;=14,G41*J41*VLOOKUP(C41,Segédlet!$C$5:$G$37,4,0),J41*14*VLOOKUP(C41,Segédlet!$C$5:$G$37,4,0)+(G41-14)*J41*VLOOKUP(C41,Segédlet!$C$5:$G$37,5,0)),"")</f>
        <v/>
      </c>
      <c r="P41" s="6" t="str">
        <f>IF(B41&lt;&gt;"",IF(G41&lt;=14,G41*K41*VLOOKUP(C41,Segédlet!$C$5:$G$37,4,0),K41*14*VLOOKUP(C41,Segédlet!$C$5:$G$37,4,0)+(G41-14)*K41*VLOOKUP(C41,Segédlet!$C$5:$G$37,5,0)),"")</f>
        <v/>
      </c>
      <c r="Q41" s="12" t="str">
        <f t="shared" si="6"/>
        <v/>
      </c>
      <c r="R41" s="12" t="str">
        <f t="shared" si="7"/>
        <v/>
      </c>
      <c r="S41" s="22" t="str">
        <f t="shared" si="9"/>
        <v/>
      </c>
    </row>
    <row r="42" spans="1:19" x14ac:dyDescent="0.2">
      <c r="A42" s="57" t="str">
        <f t="shared" si="8"/>
        <v xml:space="preserve"> </v>
      </c>
      <c r="B42" s="10"/>
      <c r="C42" s="18"/>
      <c r="D42" s="21" t="str">
        <f>IF(C42&lt;&gt;"",INDEX(Segédlet!$B$5:$B$37,MATCH(C42,Segédlet!$C$5:$C$37,0)),"")</f>
        <v/>
      </c>
      <c r="E42" s="19"/>
      <c r="F42" s="8"/>
      <c r="G42" s="5" t="str">
        <f t="shared" si="5"/>
        <v/>
      </c>
      <c r="H42" s="8" t="str">
        <f t="shared" si="0"/>
        <v/>
      </c>
      <c r="I42" s="8" t="str">
        <f t="shared" si="1"/>
        <v/>
      </c>
      <c r="J42" s="8" t="str">
        <f t="shared" si="2"/>
        <v/>
      </c>
      <c r="K42" s="11"/>
      <c r="L42" s="11" t="str">
        <f t="shared" si="3"/>
        <v/>
      </c>
      <c r="M42" s="20"/>
      <c r="N42" s="6" t="str">
        <f>IF(B42&lt;&gt;"",IF(AND(I42&gt;0,R42&gt;0),(K42+J42-I42)*VLOOKUP(M42,Segédlet!$I$5:$J$12,2,0),(K42+J42)*VLOOKUP(M42,Segédlet!$I$5:$J$12,2,0)),"")</f>
        <v/>
      </c>
      <c r="O42" s="6" t="str">
        <f>IF(B42&lt;&gt;"",IF(G42&lt;=14,G42*J42*VLOOKUP(C42,Segédlet!$C$5:$G$37,4,0),J42*14*VLOOKUP(C42,Segédlet!$C$5:$G$37,4,0)+(G42-14)*J42*VLOOKUP(C42,Segédlet!$C$5:$G$37,5,0)),"")</f>
        <v/>
      </c>
      <c r="P42" s="6" t="str">
        <f>IF(B42&lt;&gt;"",IF(G42&lt;=14,G42*K42*VLOOKUP(C42,Segédlet!$C$5:$G$37,4,0),K42*14*VLOOKUP(C42,Segédlet!$C$5:$G$37,4,0)+(G42-14)*K42*VLOOKUP(C42,Segédlet!$C$5:$G$37,5,0)),"")</f>
        <v/>
      </c>
      <c r="Q42" s="12" t="str">
        <f t="shared" si="6"/>
        <v/>
      </c>
      <c r="R42" s="12" t="str">
        <f t="shared" si="7"/>
        <v/>
      </c>
      <c r="S42" s="22" t="str">
        <f t="shared" si="9"/>
        <v/>
      </c>
    </row>
    <row r="43" spans="1:19" x14ac:dyDescent="0.2">
      <c r="A43" s="57" t="str">
        <f t="shared" si="8"/>
        <v xml:space="preserve"> </v>
      </c>
      <c r="B43" s="10"/>
      <c r="C43" s="18"/>
      <c r="D43" s="21" t="str">
        <f>IF(C43&lt;&gt;"",INDEX(Segédlet!$B$5:$B$37,MATCH(C43,Segédlet!$C$5:$C$37,0)),"")</f>
        <v/>
      </c>
      <c r="E43" s="19"/>
      <c r="F43" s="8"/>
      <c r="G43" s="5" t="str">
        <f t="shared" si="5"/>
        <v/>
      </c>
      <c r="H43" s="8" t="str">
        <f t="shared" si="0"/>
        <v/>
      </c>
      <c r="I43" s="8" t="str">
        <f t="shared" si="1"/>
        <v/>
      </c>
      <c r="J43" s="8" t="str">
        <f t="shared" si="2"/>
        <v/>
      </c>
      <c r="K43" s="11"/>
      <c r="L43" s="11" t="str">
        <f t="shared" si="3"/>
        <v/>
      </c>
      <c r="M43" s="20"/>
      <c r="N43" s="6" t="str">
        <f>IF(B43&lt;&gt;"",IF(AND(I43&gt;0,R43&gt;0),(K43+J43-I43)*VLOOKUP(M43,Segédlet!$I$5:$J$12,2,0),(K43+J43)*VLOOKUP(M43,Segédlet!$I$5:$J$12,2,0)),"")</f>
        <v/>
      </c>
      <c r="O43" s="6" t="str">
        <f>IF(B43&lt;&gt;"",IF(G43&lt;=14,G43*J43*VLOOKUP(C43,Segédlet!$C$5:$G$37,4,0),J43*14*VLOOKUP(C43,Segédlet!$C$5:$G$37,4,0)+(G43-14)*J43*VLOOKUP(C43,Segédlet!$C$5:$G$37,5,0)),"")</f>
        <v/>
      </c>
      <c r="P43" s="6" t="str">
        <f>IF(B43&lt;&gt;"",IF(G43&lt;=14,G43*K43*VLOOKUP(C43,Segédlet!$C$5:$G$37,4,0),K43*14*VLOOKUP(C43,Segédlet!$C$5:$G$37,4,0)+(G43-14)*K43*VLOOKUP(C43,Segédlet!$C$5:$G$37,5,0)),"")</f>
        <v/>
      </c>
      <c r="Q43" s="12" t="str">
        <f t="shared" si="6"/>
        <v/>
      </c>
      <c r="R43" s="12" t="str">
        <f t="shared" si="7"/>
        <v/>
      </c>
      <c r="S43" s="22" t="str">
        <f t="shared" si="9"/>
        <v/>
      </c>
    </row>
    <row r="44" spans="1:19" x14ac:dyDescent="0.2">
      <c r="A44" s="57" t="str">
        <f t="shared" si="8"/>
        <v xml:space="preserve"> </v>
      </c>
      <c r="B44" s="10"/>
      <c r="C44" s="18"/>
      <c r="D44" s="21" t="str">
        <f>IF(C44&lt;&gt;"",INDEX(Segédlet!$B$5:$B$37,MATCH(C44,Segédlet!$C$5:$C$37,0)),"")</f>
        <v/>
      </c>
      <c r="E44" s="19"/>
      <c r="F44" s="8"/>
      <c r="G44" s="5" t="str">
        <f t="shared" si="5"/>
        <v/>
      </c>
      <c r="H44" s="8" t="str">
        <f t="shared" si="0"/>
        <v/>
      </c>
      <c r="I44" s="8" t="str">
        <f t="shared" si="1"/>
        <v/>
      </c>
      <c r="J44" s="8" t="str">
        <f t="shared" si="2"/>
        <v/>
      </c>
      <c r="K44" s="11"/>
      <c r="L44" s="11" t="str">
        <f t="shared" si="3"/>
        <v/>
      </c>
      <c r="M44" s="20"/>
      <c r="N44" s="6" t="str">
        <f>IF(B44&lt;&gt;"",IF(AND(I44&gt;0,R44&gt;0),(K44+J44-I44)*VLOOKUP(M44,Segédlet!$I$5:$J$12,2,0),(K44+J44)*VLOOKUP(M44,Segédlet!$I$5:$J$12,2,0)),"")</f>
        <v/>
      </c>
      <c r="O44" s="6" t="str">
        <f>IF(B44&lt;&gt;"",IF(G44&lt;=14,G44*J44*VLOOKUP(C44,Segédlet!$C$5:$G$37,4,0),J44*14*VLOOKUP(C44,Segédlet!$C$5:$G$37,4,0)+(G44-14)*J44*VLOOKUP(C44,Segédlet!$C$5:$G$37,5,0)),"")</f>
        <v/>
      </c>
      <c r="P44" s="6" t="str">
        <f>IF(B44&lt;&gt;"",IF(G44&lt;=14,G44*K44*VLOOKUP(C44,Segédlet!$C$5:$G$37,4,0),K44*14*VLOOKUP(C44,Segédlet!$C$5:$G$37,4,0)+(G44-14)*K44*VLOOKUP(C44,Segédlet!$C$5:$G$37,5,0)),"")</f>
        <v/>
      </c>
      <c r="Q44" s="12" t="str">
        <f t="shared" si="6"/>
        <v/>
      </c>
      <c r="R44" s="12" t="str">
        <f t="shared" si="7"/>
        <v/>
      </c>
      <c r="S44" s="22" t="str">
        <f t="shared" si="9"/>
        <v/>
      </c>
    </row>
    <row r="45" spans="1:19" x14ac:dyDescent="0.2">
      <c r="A45" s="57" t="str">
        <f t="shared" si="8"/>
        <v xml:space="preserve"> </v>
      </c>
      <c r="B45" s="10"/>
      <c r="C45" s="18"/>
      <c r="D45" s="21" t="str">
        <f>IF(C45&lt;&gt;"",INDEX(Segédlet!$B$5:$B$37,MATCH(C45,Segédlet!$C$5:$C$37,0)),"")</f>
        <v/>
      </c>
      <c r="E45" s="19"/>
      <c r="F45" s="8"/>
      <c r="G45" s="5" t="str">
        <f t="shared" si="5"/>
        <v/>
      </c>
      <c r="H45" s="8" t="str">
        <f t="shared" si="0"/>
        <v/>
      </c>
      <c r="I45" s="8" t="str">
        <f t="shared" si="1"/>
        <v/>
      </c>
      <c r="J45" s="8" t="str">
        <f t="shared" si="2"/>
        <v/>
      </c>
      <c r="K45" s="11"/>
      <c r="L45" s="11" t="str">
        <f t="shared" si="3"/>
        <v/>
      </c>
      <c r="M45" s="20"/>
      <c r="N45" s="6" t="str">
        <f>IF(B45&lt;&gt;"",IF(AND(I45&gt;0,R45&gt;0),(K45+J45-I45)*VLOOKUP(M45,Segédlet!$I$5:$J$12,2,0),(K45+J45)*VLOOKUP(M45,Segédlet!$I$5:$J$12,2,0)),"")</f>
        <v/>
      </c>
      <c r="O45" s="6" t="str">
        <f>IF(B45&lt;&gt;"",IF(G45&lt;=14,G45*J45*VLOOKUP(C45,Segédlet!$C$5:$G$37,4,0),J45*14*VLOOKUP(C45,Segédlet!$C$5:$G$37,4,0)+(G45-14)*J45*VLOOKUP(C45,Segédlet!$C$5:$G$37,5,0)),"")</f>
        <v/>
      </c>
      <c r="P45" s="6" t="str">
        <f>IF(B45&lt;&gt;"",IF(G45&lt;=14,G45*K45*VLOOKUP(C45,Segédlet!$C$5:$G$37,4,0),K45*14*VLOOKUP(C45,Segédlet!$C$5:$G$37,4,0)+(G45-14)*K45*VLOOKUP(C45,Segédlet!$C$5:$G$37,5,0)),"")</f>
        <v/>
      </c>
      <c r="Q45" s="12" t="str">
        <f t="shared" si="6"/>
        <v/>
      </c>
      <c r="R45" s="12" t="str">
        <f t="shared" si="7"/>
        <v/>
      </c>
      <c r="S45" s="22" t="str">
        <f t="shared" si="9"/>
        <v/>
      </c>
    </row>
    <row r="46" spans="1:19" x14ac:dyDescent="0.2">
      <c r="A46" s="57" t="str">
        <f t="shared" si="8"/>
        <v xml:space="preserve"> </v>
      </c>
      <c r="B46" s="10"/>
      <c r="C46" s="18"/>
      <c r="D46" s="21" t="str">
        <f>IF(C46&lt;&gt;"",INDEX(Segédlet!$B$5:$B$37,MATCH(C46,Segédlet!$C$5:$C$37,0)),"")</f>
        <v/>
      </c>
      <c r="E46" s="19"/>
      <c r="F46" s="8"/>
      <c r="G46" s="5" t="str">
        <f t="shared" si="5"/>
        <v/>
      </c>
      <c r="H46" s="8" t="str">
        <f t="shared" si="0"/>
        <v/>
      </c>
      <c r="I46" s="8" t="str">
        <f t="shared" si="1"/>
        <v/>
      </c>
      <c r="J46" s="8" t="str">
        <f t="shared" si="2"/>
        <v/>
      </c>
      <c r="K46" s="11"/>
      <c r="L46" s="11" t="str">
        <f t="shared" si="3"/>
        <v/>
      </c>
      <c r="M46" s="20"/>
      <c r="N46" s="6" t="str">
        <f>IF(B46&lt;&gt;"",IF(AND(I46&gt;0,R46&gt;0),(K46+J46-I46)*VLOOKUP(M46,Segédlet!$I$5:$J$12,2,0),(K46+J46)*VLOOKUP(M46,Segédlet!$I$5:$J$12,2,0)),"")</f>
        <v/>
      </c>
      <c r="O46" s="6" t="str">
        <f>IF(B46&lt;&gt;"",IF(G46&lt;=14,G46*J46*VLOOKUP(C46,Segédlet!$C$5:$G$37,4,0),J46*14*VLOOKUP(C46,Segédlet!$C$5:$G$37,4,0)+(G46-14)*J46*VLOOKUP(C46,Segédlet!$C$5:$G$37,5,0)),"")</f>
        <v/>
      </c>
      <c r="P46" s="6" t="str">
        <f>IF(B46&lt;&gt;"",IF(G46&lt;=14,G46*K46*VLOOKUP(C46,Segédlet!$C$5:$G$37,4,0),K46*14*VLOOKUP(C46,Segédlet!$C$5:$G$37,4,0)+(G46-14)*K46*VLOOKUP(C46,Segédlet!$C$5:$G$37,5,0)),"")</f>
        <v/>
      </c>
      <c r="Q46" s="12" t="str">
        <f t="shared" si="6"/>
        <v/>
      </c>
      <c r="R46" s="12" t="str">
        <f t="shared" si="7"/>
        <v/>
      </c>
      <c r="S46" s="22" t="str">
        <f t="shared" si="9"/>
        <v/>
      </c>
    </row>
    <row r="47" spans="1:19" x14ac:dyDescent="0.2">
      <c r="A47" s="57" t="str">
        <f t="shared" si="8"/>
        <v xml:space="preserve"> </v>
      </c>
      <c r="B47" s="10"/>
      <c r="C47" s="18"/>
      <c r="D47" s="21" t="str">
        <f>IF(C47&lt;&gt;"",INDEX(Segédlet!$B$5:$B$37,MATCH(C47,Segédlet!$C$5:$C$37,0)),"")</f>
        <v/>
      </c>
      <c r="E47" s="19"/>
      <c r="F47" s="8"/>
      <c r="G47" s="5" t="str">
        <f t="shared" si="5"/>
        <v/>
      </c>
      <c r="H47" s="8" t="str">
        <f t="shared" si="0"/>
        <v/>
      </c>
      <c r="I47" s="8" t="str">
        <f t="shared" si="1"/>
        <v/>
      </c>
      <c r="J47" s="8" t="str">
        <f t="shared" si="2"/>
        <v/>
      </c>
      <c r="K47" s="11"/>
      <c r="L47" s="11" t="str">
        <f t="shared" si="3"/>
        <v/>
      </c>
      <c r="M47" s="20"/>
      <c r="N47" s="6" t="str">
        <f>IF(B47&lt;&gt;"",IF(AND(I47&gt;0,R47&gt;0),(K47+J47-I47)*VLOOKUP(M47,Segédlet!$I$5:$J$12,2,0),(K47+J47)*VLOOKUP(M47,Segédlet!$I$5:$J$12,2,0)),"")</f>
        <v/>
      </c>
      <c r="O47" s="6" t="str">
        <f>IF(B47&lt;&gt;"",IF(G47&lt;=14,G47*J47*VLOOKUP(C47,Segédlet!$C$5:$G$37,4,0),J47*14*VLOOKUP(C47,Segédlet!$C$5:$G$37,4,0)+(G47-14)*J47*VLOOKUP(C47,Segédlet!$C$5:$G$37,5,0)),"")</f>
        <v/>
      </c>
      <c r="P47" s="6" t="str">
        <f>IF(B47&lt;&gt;"",IF(G47&lt;=14,G47*K47*VLOOKUP(C47,Segédlet!$C$5:$G$37,4,0),K47*14*VLOOKUP(C47,Segédlet!$C$5:$G$37,4,0)+(G47-14)*K47*VLOOKUP(C47,Segédlet!$C$5:$G$37,5,0)),"")</f>
        <v/>
      </c>
      <c r="Q47" s="12" t="str">
        <f t="shared" si="6"/>
        <v/>
      </c>
      <c r="R47" s="12" t="str">
        <f t="shared" si="7"/>
        <v/>
      </c>
      <c r="S47" s="22" t="str">
        <f t="shared" si="9"/>
        <v/>
      </c>
    </row>
    <row r="48" spans="1:19" x14ac:dyDescent="0.2">
      <c r="A48" s="57" t="str">
        <f t="shared" si="8"/>
        <v xml:space="preserve"> </v>
      </c>
      <c r="B48" s="10"/>
      <c r="C48" s="18"/>
      <c r="D48" s="21" t="str">
        <f>IF(C48&lt;&gt;"",INDEX(Segédlet!$B$5:$B$37,MATCH(C48,Segédlet!$C$5:$C$37,0)),"")</f>
        <v/>
      </c>
      <c r="E48" s="19"/>
      <c r="F48" s="8"/>
      <c r="G48" s="5" t="str">
        <f t="shared" si="5"/>
        <v/>
      </c>
      <c r="H48" s="8" t="str">
        <f t="shared" si="0"/>
        <v/>
      </c>
      <c r="I48" s="8" t="str">
        <f t="shared" si="1"/>
        <v/>
      </c>
      <c r="J48" s="8" t="str">
        <f t="shared" si="2"/>
        <v/>
      </c>
      <c r="K48" s="11"/>
      <c r="L48" s="11" t="str">
        <f t="shared" si="3"/>
        <v/>
      </c>
      <c r="M48" s="20"/>
      <c r="N48" s="6" t="str">
        <f>IF(B48&lt;&gt;"",IF(AND(I48&gt;0,R48&gt;0),(K48+J48-I48)*VLOOKUP(M48,Segédlet!$I$5:$J$12,2,0),(K48+J48)*VLOOKUP(M48,Segédlet!$I$5:$J$12,2,0)),"")</f>
        <v/>
      </c>
      <c r="O48" s="6" t="str">
        <f>IF(B48&lt;&gt;"",IF(G48&lt;=14,G48*J48*VLOOKUP(C48,Segédlet!$C$5:$G$37,4,0),J48*14*VLOOKUP(C48,Segédlet!$C$5:$G$37,4,0)+(G48-14)*J48*VLOOKUP(C48,Segédlet!$C$5:$G$37,5,0)),"")</f>
        <v/>
      </c>
      <c r="P48" s="6" t="str">
        <f>IF(B48&lt;&gt;"",IF(G48&lt;=14,G48*K48*VLOOKUP(C48,Segédlet!$C$5:$G$37,4,0),K48*14*VLOOKUP(C48,Segédlet!$C$5:$G$37,4,0)+(G48-14)*K48*VLOOKUP(C48,Segédlet!$C$5:$G$37,5,0)),"")</f>
        <v/>
      </c>
      <c r="Q48" s="12" t="str">
        <f t="shared" si="6"/>
        <v/>
      </c>
      <c r="R48" s="12" t="str">
        <f t="shared" si="7"/>
        <v/>
      </c>
      <c r="S48" s="22" t="str">
        <f t="shared" si="9"/>
        <v/>
      </c>
    </row>
    <row r="49" spans="1:19" x14ac:dyDescent="0.2">
      <c r="A49" s="57" t="str">
        <f t="shared" si="8"/>
        <v xml:space="preserve"> </v>
      </c>
      <c r="B49" s="10"/>
      <c r="C49" s="18"/>
      <c r="D49" s="21" t="str">
        <f>IF(C49&lt;&gt;"",INDEX(Segédlet!$B$5:$B$37,MATCH(C49,Segédlet!$C$5:$C$37,0)),"")</f>
        <v/>
      </c>
      <c r="E49" s="19"/>
      <c r="F49" s="8"/>
      <c r="G49" s="5" t="str">
        <f t="shared" si="5"/>
        <v/>
      </c>
      <c r="H49" s="8" t="str">
        <f t="shared" si="0"/>
        <v/>
      </c>
      <c r="I49" s="8" t="str">
        <f t="shared" si="1"/>
        <v/>
      </c>
      <c r="J49" s="8" t="str">
        <f t="shared" si="2"/>
        <v/>
      </c>
      <c r="K49" s="11"/>
      <c r="L49" s="11" t="str">
        <f t="shared" si="3"/>
        <v/>
      </c>
      <c r="M49" s="20"/>
      <c r="N49" s="6" t="str">
        <f>IF(B49&lt;&gt;"",IF(AND(I49&gt;0,R49&gt;0),(K49+J49-I49)*VLOOKUP(M49,Segédlet!$I$5:$J$12,2,0),(K49+J49)*VLOOKUP(M49,Segédlet!$I$5:$J$12,2,0)),"")</f>
        <v/>
      </c>
      <c r="O49" s="6" t="str">
        <f>IF(B49&lt;&gt;"",IF(G49&lt;=14,G49*J49*VLOOKUP(C49,Segédlet!$C$5:$G$37,4,0),J49*14*VLOOKUP(C49,Segédlet!$C$5:$G$37,4,0)+(G49-14)*J49*VLOOKUP(C49,Segédlet!$C$5:$G$37,5,0)),"")</f>
        <v/>
      </c>
      <c r="P49" s="6" t="str">
        <f>IF(B49&lt;&gt;"",IF(G49&lt;=14,G49*K49*VLOOKUP(C49,Segédlet!$C$5:$G$37,4,0),K49*14*VLOOKUP(C49,Segédlet!$C$5:$G$37,4,0)+(G49-14)*K49*VLOOKUP(C49,Segédlet!$C$5:$G$37,5,0)),"")</f>
        <v/>
      </c>
      <c r="Q49" s="12" t="str">
        <f t="shared" si="6"/>
        <v/>
      </c>
      <c r="R49" s="12" t="str">
        <f t="shared" si="7"/>
        <v/>
      </c>
      <c r="S49" s="22" t="str">
        <f t="shared" si="9"/>
        <v/>
      </c>
    </row>
    <row r="50" spans="1:19" x14ac:dyDescent="0.2">
      <c r="A50" s="57" t="str">
        <f t="shared" si="8"/>
        <v xml:space="preserve"> </v>
      </c>
      <c r="B50" s="10"/>
      <c r="C50" s="18"/>
      <c r="D50" s="21" t="str">
        <f>IF(C50&lt;&gt;"",INDEX(Segédlet!$B$5:$B$37,MATCH(C50,Segédlet!$C$5:$C$37,0)),"")</f>
        <v/>
      </c>
      <c r="E50" s="19"/>
      <c r="F50" s="8"/>
      <c r="G50" s="5" t="str">
        <f t="shared" si="5"/>
        <v/>
      </c>
      <c r="H50" s="8" t="str">
        <f t="shared" si="0"/>
        <v/>
      </c>
      <c r="I50" s="8" t="str">
        <f t="shared" si="1"/>
        <v/>
      </c>
      <c r="J50" s="8" t="str">
        <f t="shared" si="2"/>
        <v/>
      </c>
      <c r="K50" s="11"/>
      <c r="L50" s="11" t="str">
        <f t="shared" si="3"/>
        <v/>
      </c>
      <c r="M50" s="20"/>
      <c r="N50" s="6" t="str">
        <f>IF(B50&lt;&gt;"",IF(AND(I50&gt;0,R50&gt;0),(K50+J50-I50)*VLOOKUP(M50,Segédlet!$I$5:$J$12,2,0),(K50+J50)*VLOOKUP(M50,Segédlet!$I$5:$J$12,2,0)),"")</f>
        <v/>
      </c>
      <c r="O50" s="6" t="str">
        <f>IF(B50&lt;&gt;"",IF(G50&lt;=14,G50*J50*VLOOKUP(C50,Segédlet!$C$5:$G$37,4,0),J50*14*VLOOKUP(C50,Segédlet!$C$5:$G$37,4,0)+(G50-14)*J50*VLOOKUP(C50,Segédlet!$C$5:$G$37,5,0)),"")</f>
        <v/>
      </c>
      <c r="P50" s="6" t="str">
        <f>IF(B50&lt;&gt;"",IF(G50&lt;=14,G50*K50*VLOOKUP(C50,Segédlet!$C$5:$G$37,4,0),K50*14*VLOOKUP(C50,Segédlet!$C$5:$G$37,4,0)+(G50-14)*K50*VLOOKUP(C50,Segédlet!$C$5:$G$37,5,0)),"")</f>
        <v/>
      </c>
      <c r="Q50" s="12" t="str">
        <f t="shared" si="6"/>
        <v/>
      </c>
      <c r="R50" s="12" t="str">
        <f t="shared" si="7"/>
        <v/>
      </c>
      <c r="S50" s="22" t="str">
        <f t="shared" si="9"/>
        <v/>
      </c>
    </row>
    <row r="51" spans="1:19" x14ac:dyDescent="0.2">
      <c r="A51" s="57" t="str">
        <f t="shared" si="8"/>
        <v xml:space="preserve"> </v>
      </c>
      <c r="B51" s="10"/>
      <c r="C51" s="18"/>
      <c r="D51" s="21" t="str">
        <f>IF(C51&lt;&gt;"",INDEX(Segédlet!$B$5:$B$37,MATCH(C51,Segédlet!$C$5:$C$37,0)),"")</f>
        <v/>
      </c>
      <c r="E51" s="19"/>
      <c r="F51" s="8"/>
      <c r="G51" s="5" t="str">
        <f t="shared" si="5"/>
        <v/>
      </c>
      <c r="H51" s="8" t="str">
        <f t="shared" si="0"/>
        <v/>
      </c>
      <c r="I51" s="8" t="str">
        <f t="shared" si="1"/>
        <v/>
      </c>
      <c r="J51" s="8" t="str">
        <f t="shared" si="2"/>
        <v/>
      </c>
      <c r="K51" s="11"/>
      <c r="L51" s="11" t="str">
        <f t="shared" si="3"/>
        <v/>
      </c>
      <c r="M51" s="20"/>
      <c r="N51" s="6" t="str">
        <f>IF(B51&lt;&gt;"",IF(AND(I51&gt;0,R51&gt;0),(K51+J51-I51)*VLOOKUP(M51,Segédlet!$I$5:$J$12,2,0),(K51+J51)*VLOOKUP(M51,Segédlet!$I$5:$J$12,2,0)),"")</f>
        <v/>
      </c>
      <c r="O51" s="6" t="str">
        <f>IF(B51&lt;&gt;"",IF(G51&lt;=14,G51*J51*VLOOKUP(C51,Segédlet!$C$5:$G$37,4,0),J51*14*VLOOKUP(C51,Segédlet!$C$5:$G$37,4,0)+(G51-14)*J51*VLOOKUP(C51,Segédlet!$C$5:$G$37,5,0)),"")</f>
        <v/>
      </c>
      <c r="P51" s="6" t="str">
        <f>IF(B51&lt;&gt;"",IF(G51&lt;=14,G51*K51*VLOOKUP(C51,Segédlet!$C$5:$G$37,4,0),K51*14*VLOOKUP(C51,Segédlet!$C$5:$G$37,4,0)+(G51-14)*K51*VLOOKUP(C51,Segédlet!$C$5:$G$37,5,0)),"")</f>
        <v/>
      </c>
      <c r="Q51" s="12" t="str">
        <f t="shared" si="6"/>
        <v/>
      </c>
      <c r="R51" s="12" t="str">
        <f t="shared" si="7"/>
        <v/>
      </c>
      <c r="S51" s="22" t="str">
        <f t="shared" si="9"/>
        <v/>
      </c>
    </row>
    <row r="52" spans="1:19" x14ac:dyDescent="0.2">
      <c r="A52" s="57" t="str">
        <f t="shared" si="8"/>
        <v xml:space="preserve"> </v>
      </c>
      <c r="B52" s="10"/>
      <c r="C52" s="18"/>
      <c r="D52" s="21" t="str">
        <f>IF(C52&lt;&gt;"",INDEX(Segédlet!$B$5:$B$37,MATCH(C52,Segédlet!$C$5:$C$37,0)),"")</f>
        <v/>
      </c>
      <c r="E52" s="19"/>
      <c r="F52" s="8"/>
      <c r="G52" s="5" t="str">
        <f t="shared" si="5"/>
        <v/>
      </c>
      <c r="H52" s="8" t="str">
        <f t="shared" si="0"/>
        <v/>
      </c>
      <c r="I52" s="8" t="str">
        <f t="shared" si="1"/>
        <v/>
      </c>
      <c r="J52" s="8" t="str">
        <f t="shared" si="2"/>
        <v/>
      </c>
      <c r="K52" s="11"/>
      <c r="L52" s="11" t="str">
        <f t="shared" si="3"/>
        <v/>
      </c>
      <c r="M52" s="20"/>
      <c r="N52" s="6" t="str">
        <f>IF(B52&lt;&gt;"",IF(AND(I52&gt;0,R52&gt;0),(K52+J52-I52)*VLOOKUP(M52,Segédlet!$I$5:$J$12,2,0),(K52+J52)*VLOOKUP(M52,Segédlet!$I$5:$J$12,2,0)),"")</f>
        <v/>
      </c>
      <c r="O52" s="6" t="str">
        <f>IF(B52&lt;&gt;"",IF(G52&lt;=14,G52*J52*VLOOKUP(C52,Segédlet!$C$5:$G$37,4,0),J52*14*VLOOKUP(C52,Segédlet!$C$5:$G$37,4,0)+(G52-14)*J52*VLOOKUP(C52,Segédlet!$C$5:$G$37,5,0)),"")</f>
        <v/>
      </c>
      <c r="P52" s="6" t="str">
        <f>IF(B52&lt;&gt;"",IF(G52&lt;=14,G52*K52*VLOOKUP(C52,Segédlet!$C$5:$G$37,4,0),K52*14*VLOOKUP(C52,Segédlet!$C$5:$G$37,4,0)+(G52-14)*K52*VLOOKUP(C52,Segédlet!$C$5:$G$37,5,0)),"")</f>
        <v/>
      </c>
      <c r="Q52" s="12" t="str">
        <f t="shared" si="6"/>
        <v/>
      </c>
      <c r="R52" s="12" t="str">
        <f t="shared" si="7"/>
        <v/>
      </c>
      <c r="S52" s="22" t="str">
        <f t="shared" si="9"/>
        <v/>
      </c>
    </row>
    <row r="53" spans="1:19" x14ac:dyDescent="0.2">
      <c r="A53" s="57" t="str">
        <f t="shared" si="8"/>
        <v xml:space="preserve"> </v>
      </c>
      <c r="B53" s="10"/>
      <c r="C53" s="18"/>
      <c r="D53" s="21" t="str">
        <f>IF(C53&lt;&gt;"",INDEX(Segédlet!$B$5:$B$37,MATCH(C53,Segédlet!$C$5:$C$37,0)),"")</f>
        <v/>
      </c>
      <c r="E53" s="19"/>
      <c r="F53" s="8"/>
      <c r="G53" s="5" t="str">
        <f t="shared" si="5"/>
        <v/>
      </c>
      <c r="H53" s="8" t="str">
        <f t="shared" si="0"/>
        <v/>
      </c>
      <c r="I53" s="8" t="str">
        <f t="shared" si="1"/>
        <v/>
      </c>
      <c r="J53" s="8" t="str">
        <f t="shared" si="2"/>
        <v/>
      </c>
      <c r="K53" s="11"/>
      <c r="L53" s="11" t="str">
        <f t="shared" si="3"/>
        <v/>
      </c>
      <c r="M53" s="20"/>
      <c r="N53" s="6" t="str">
        <f>IF(B53&lt;&gt;"",IF(AND(I53&gt;0,R53&gt;0),(K53+J53-I53)*VLOOKUP(M53,Segédlet!$I$5:$J$12,2,0),(K53+J53)*VLOOKUP(M53,Segédlet!$I$5:$J$12,2,0)),"")</f>
        <v/>
      </c>
      <c r="O53" s="6" t="str">
        <f>IF(B53&lt;&gt;"",IF(G53&lt;=14,G53*J53*VLOOKUP(C53,Segédlet!$C$5:$G$37,4,0),J53*14*VLOOKUP(C53,Segédlet!$C$5:$G$37,4,0)+(G53-14)*J53*VLOOKUP(C53,Segédlet!$C$5:$G$37,5,0)),"")</f>
        <v/>
      </c>
      <c r="P53" s="6" t="str">
        <f>IF(B53&lt;&gt;"",IF(G53&lt;=14,G53*K53*VLOOKUP(C53,Segédlet!$C$5:$G$37,4,0),K53*14*VLOOKUP(C53,Segédlet!$C$5:$G$37,4,0)+(G53-14)*K53*VLOOKUP(C53,Segédlet!$C$5:$G$37,5,0)),"")</f>
        <v/>
      </c>
      <c r="Q53" s="12" t="str">
        <f t="shared" si="6"/>
        <v/>
      </c>
      <c r="R53" s="12" t="str">
        <f t="shared" si="7"/>
        <v/>
      </c>
      <c r="S53" s="22" t="str">
        <f t="shared" si="9"/>
        <v/>
      </c>
    </row>
    <row r="54" spans="1:19" x14ac:dyDescent="0.2">
      <c r="A54" s="57" t="str">
        <f t="shared" si="8"/>
        <v xml:space="preserve"> </v>
      </c>
      <c r="B54" s="10"/>
      <c r="C54" s="18"/>
      <c r="D54" s="21" t="str">
        <f>IF(C54&lt;&gt;"",INDEX(Segédlet!$B$5:$B$37,MATCH(C54,Segédlet!$C$5:$C$37,0)),"")</f>
        <v/>
      </c>
      <c r="E54" s="19"/>
      <c r="F54" s="8"/>
      <c r="G54" s="5" t="str">
        <f t="shared" si="5"/>
        <v/>
      </c>
      <c r="H54" s="8" t="str">
        <f t="shared" si="0"/>
        <v/>
      </c>
      <c r="I54" s="8" t="str">
        <f t="shared" si="1"/>
        <v/>
      </c>
      <c r="J54" s="8" t="str">
        <f t="shared" si="2"/>
        <v/>
      </c>
      <c r="K54" s="11"/>
      <c r="L54" s="11" t="str">
        <f t="shared" si="3"/>
        <v/>
      </c>
      <c r="M54" s="20"/>
      <c r="N54" s="6" t="str">
        <f>IF(B54&lt;&gt;"",IF(AND(I54&gt;0,R54&gt;0),(K54+J54-I54)*VLOOKUP(M54,Segédlet!$I$5:$J$12,2,0),(K54+J54)*VLOOKUP(M54,Segédlet!$I$5:$J$12,2,0)),"")</f>
        <v/>
      </c>
      <c r="O54" s="6" t="str">
        <f>IF(B54&lt;&gt;"",IF(G54&lt;=14,G54*J54*VLOOKUP(C54,Segédlet!$C$5:$G$37,4,0),J54*14*VLOOKUP(C54,Segédlet!$C$5:$G$37,4,0)+(G54-14)*J54*VLOOKUP(C54,Segédlet!$C$5:$G$37,5,0)),"")</f>
        <v/>
      </c>
      <c r="P54" s="6" t="str">
        <f>IF(B54&lt;&gt;"",IF(G54&lt;=14,G54*K54*VLOOKUP(C54,Segédlet!$C$5:$G$37,4,0),K54*14*VLOOKUP(C54,Segédlet!$C$5:$G$37,4,0)+(G54-14)*K54*VLOOKUP(C54,Segédlet!$C$5:$G$37,5,0)),"")</f>
        <v/>
      </c>
      <c r="Q54" s="12" t="str">
        <f t="shared" si="6"/>
        <v/>
      </c>
      <c r="R54" s="12" t="str">
        <f t="shared" si="7"/>
        <v/>
      </c>
      <c r="S54" s="22" t="str">
        <f t="shared" si="9"/>
        <v/>
      </c>
    </row>
    <row r="55" spans="1:19" x14ac:dyDescent="0.2">
      <c r="A55" s="57" t="str">
        <f t="shared" si="8"/>
        <v xml:space="preserve"> </v>
      </c>
      <c r="B55" s="10"/>
      <c r="C55" s="18"/>
      <c r="D55" s="21" t="str">
        <f>IF(C55&lt;&gt;"",INDEX(Segédlet!$B$5:$B$37,MATCH(C55,Segédlet!$C$5:$C$37,0)),"")</f>
        <v/>
      </c>
      <c r="E55" s="19"/>
      <c r="F55" s="8"/>
      <c r="G55" s="5" t="str">
        <f t="shared" si="5"/>
        <v/>
      </c>
      <c r="H55" s="8" t="str">
        <f t="shared" si="0"/>
        <v/>
      </c>
      <c r="I55" s="8" t="str">
        <f t="shared" si="1"/>
        <v/>
      </c>
      <c r="J55" s="8" t="str">
        <f t="shared" si="2"/>
        <v/>
      </c>
      <c r="K55" s="11"/>
      <c r="L55" s="11" t="str">
        <f t="shared" si="3"/>
        <v/>
      </c>
      <c r="M55" s="20"/>
      <c r="N55" s="6" t="str">
        <f>IF(B55&lt;&gt;"",IF(AND(I55&gt;0,R55&gt;0),(K55+J55-I55)*VLOOKUP(M55,Segédlet!$I$5:$J$12,2,0),(K55+J55)*VLOOKUP(M55,Segédlet!$I$5:$J$12,2,0)),"")</f>
        <v/>
      </c>
      <c r="O55" s="6" t="str">
        <f>IF(B55&lt;&gt;"",IF(G55&lt;=14,G55*J55*VLOOKUP(C55,Segédlet!$C$5:$G$37,4,0),J55*14*VLOOKUP(C55,Segédlet!$C$5:$G$37,4,0)+(G55-14)*J55*VLOOKUP(C55,Segédlet!$C$5:$G$37,5,0)),"")</f>
        <v/>
      </c>
      <c r="P55" s="6" t="str">
        <f>IF(B55&lt;&gt;"",IF(G55&lt;=14,G55*K55*VLOOKUP(C55,Segédlet!$C$5:$G$37,4,0),K55*14*VLOOKUP(C55,Segédlet!$C$5:$G$37,4,0)+(G55-14)*K55*VLOOKUP(C55,Segédlet!$C$5:$G$37,5,0)),"")</f>
        <v/>
      </c>
      <c r="Q55" s="12" t="str">
        <f t="shared" si="6"/>
        <v/>
      </c>
      <c r="R55" s="12" t="str">
        <f t="shared" si="7"/>
        <v/>
      </c>
      <c r="S55" s="22" t="str">
        <f t="shared" si="9"/>
        <v/>
      </c>
    </row>
    <row r="56" spans="1:19" x14ac:dyDescent="0.2">
      <c r="A56" s="57" t="str">
        <f t="shared" si="8"/>
        <v xml:space="preserve"> </v>
      </c>
      <c r="B56" s="10"/>
      <c r="C56" s="18"/>
      <c r="D56" s="21" t="str">
        <f>IF(C56&lt;&gt;"",INDEX(Segédlet!$B$5:$B$37,MATCH(C56,Segédlet!$C$5:$C$37,0)),"")</f>
        <v/>
      </c>
      <c r="E56" s="19"/>
      <c r="F56" s="8"/>
      <c r="G56" s="5" t="str">
        <f t="shared" si="5"/>
        <v/>
      </c>
      <c r="H56" s="8" t="str">
        <f t="shared" si="0"/>
        <v/>
      </c>
      <c r="I56" s="8" t="str">
        <f t="shared" si="1"/>
        <v/>
      </c>
      <c r="J56" s="8" t="str">
        <f t="shared" si="2"/>
        <v/>
      </c>
      <c r="K56" s="11"/>
      <c r="L56" s="11" t="str">
        <f t="shared" si="3"/>
        <v/>
      </c>
      <c r="M56" s="20"/>
      <c r="N56" s="6" t="str">
        <f>IF(B56&lt;&gt;"",IF(AND(I56&gt;0,R56&gt;0),(K56+J56-I56)*VLOOKUP(M56,Segédlet!$I$5:$J$12,2,0),(K56+J56)*VLOOKUP(M56,Segédlet!$I$5:$J$12,2,0)),"")</f>
        <v/>
      </c>
      <c r="O56" s="6" t="str">
        <f>IF(B56&lt;&gt;"",IF(G56&lt;=14,G56*J56*VLOOKUP(C56,Segédlet!$C$5:$G$37,4,0),J56*14*VLOOKUP(C56,Segédlet!$C$5:$G$37,4,0)+(G56-14)*J56*VLOOKUP(C56,Segédlet!$C$5:$G$37,5,0)),"")</f>
        <v/>
      </c>
      <c r="P56" s="6" t="str">
        <f>IF(B56&lt;&gt;"",IF(G56&lt;=14,G56*K56*VLOOKUP(C56,Segédlet!$C$5:$G$37,4,0),K56*14*VLOOKUP(C56,Segédlet!$C$5:$G$37,4,0)+(G56-14)*K56*VLOOKUP(C56,Segédlet!$C$5:$G$37,5,0)),"")</f>
        <v/>
      </c>
      <c r="Q56" s="12" t="str">
        <f t="shared" si="6"/>
        <v/>
      </c>
      <c r="R56" s="12" t="str">
        <f t="shared" si="7"/>
        <v/>
      </c>
      <c r="S56" s="22" t="str">
        <f t="shared" si="9"/>
        <v/>
      </c>
    </row>
    <row r="57" spans="1:19" x14ac:dyDescent="0.2">
      <c r="A57" s="57" t="str">
        <f t="shared" si="8"/>
        <v xml:space="preserve"> </v>
      </c>
      <c r="B57" s="10"/>
      <c r="C57" s="18"/>
      <c r="D57" s="21" t="str">
        <f>IF(C57&lt;&gt;"",INDEX(Segédlet!$B$5:$B$37,MATCH(C57,Segédlet!$C$5:$C$37,0)),"")</f>
        <v/>
      </c>
      <c r="E57" s="19"/>
      <c r="F57" s="8"/>
      <c r="G57" s="5" t="str">
        <f t="shared" si="5"/>
        <v/>
      </c>
      <c r="H57" s="8" t="str">
        <f t="shared" si="0"/>
        <v/>
      </c>
      <c r="I57" s="8" t="str">
        <f t="shared" si="1"/>
        <v/>
      </c>
      <c r="J57" s="8" t="str">
        <f t="shared" si="2"/>
        <v/>
      </c>
      <c r="K57" s="11"/>
      <c r="L57" s="11" t="str">
        <f t="shared" si="3"/>
        <v/>
      </c>
      <c r="M57" s="20"/>
      <c r="N57" s="6" t="str">
        <f>IF(B57&lt;&gt;"",IF(AND(I57&gt;0,R57&gt;0),(K57+J57-I57)*VLOOKUP(M57,Segédlet!$I$5:$J$12,2,0),(K57+J57)*VLOOKUP(M57,Segédlet!$I$5:$J$12,2,0)),"")</f>
        <v/>
      </c>
      <c r="O57" s="6" t="str">
        <f>IF(B57&lt;&gt;"",IF(G57&lt;=14,G57*J57*VLOOKUP(C57,Segédlet!$C$5:$G$37,4,0),J57*14*VLOOKUP(C57,Segédlet!$C$5:$G$37,4,0)+(G57-14)*J57*VLOOKUP(C57,Segédlet!$C$5:$G$37,5,0)),"")</f>
        <v/>
      </c>
      <c r="P57" s="6" t="str">
        <f>IF(B57&lt;&gt;"",IF(G57&lt;=14,G57*K57*VLOOKUP(C57,Segédlet!$C$5:$G$37,4,0),K57*14*VLOOKUP(C57,Segédlet!$C$5:$G$37,4,0)+(G57-14)*K57*VLOOKUP(C57,Segédlet!$C$5:$G$37,5,0)),"")</f>
        <v/>
      </c>
      <c r="Q57" s="12" t="str">
        <f t="shared" si="6"/>
        <v/>
      </c>
      <c r="R57" s="12" t="str">
        <f t="shared" si="7"/>
        <v/>
      </c>
      <c r="S57" s="22" t="str">
        <f t="shared" si="9"/>
        <v/>
      </c>
    </row>
    <row r="58" spans="1:19" x14ac:dyDescent="0.2">
      <c r="A58" s="57" t="str">
        <f t="shared" si="8"/>
        <v xml:space="preserve"> </v>
      </c>
      <c r="B58" s="10"/>
      <c r="C58" s="18"/>
      <c r="D58" s="21" t="str">
        <f>IF(C58&lt;&gt;"",INDEX(Segédlet!$B$5:$B$37,MATCH(C58,Segédlet!$C$5:$C$37,0)),"")</f>
        <v/>
      </c>
      <c r="E58" s="19"/>
      <c r="F58" s="8"/>
      <c r="G58" s="5" t="str">
        <f t="shared" si="5"/>
        <v/>
      </c>
      <c r="H58" s="8" t="str">
        <f t="shared" si="0"/>
        <v/>
      </c>
      <c r="I58" s="8" t="str">
        <f t="shared" si="1"/>
        <v/>
      </c>
      <c r="J58" s="8" t="str">
        <f t="shared" si="2"/>
        <v/>
      </c>
      <c r="K58" s="11"/>
      <c r="L58" s="11" t="str">
        <f t="shared" si="3"/>
        <v/>
      </c>
      <c r="M58" s="20"/>
      <c r="N58" s="6" t="str">
        <f>IF(B58&lt;&gt;"",IF(AND(I58&gt;0,R58&gt;0),(K58+J58-I58)*VLOOKUP(M58,Segédlet!$I$5:$J$12,2,0),(K58+J58)*VLOOKUP(M58,Segédlet!$I$5:$J$12,2,0)),"")</f>
        <v/>
      </c>
      <c r="O58" s="6" t="str">
        <f>IF(B58&lt;&gt;"",IF(G58&lt;=14,G58*J58*VLOOKUP(C58,Segédlet!$C$5:$G$37,4,0),J58*14*VLOOKUP(C58,Segédlet!$C$5:$G$37,4,0)+(G58-14)*J58*VLOOKUP(C58,Segédlet!$C$5:$G$37,5,0)),"")</f>
        <v/>
      </c>
      <c r="P58" s="6" t="str">
        <f>IF(B58&lt;&gt;"",IF(G58&lt;=14,G58*K58*VLOOKUP(C58,Segédlet!$C$5:$G$37,4,0),K58*14*VLOOKUP(C58,Segédlet!$C$5:$G$37,4,0)+(G58-14)*K58*VLOOKUP(C58,Segédlet!$C$5:$G$37,5,0)),"")</f>
        <v/>
      </c>
      <c r="Q58" s="12" t="str">
        <f t="shared" si="6"/>
        <v/>
      </c>
      <c r="R58" s="12" t="str">
        <f t="shared" si="7"/>
        <v/>
      </c>
      <c r="S58" s="22" t="str">
        <f t="shared" si="9"/>
        <v/>
      </c>
    </row>
    <row r="59" spans="1:19" x14ac:dyDescent="0.2">
      <c r="A59" s="57" t="str">
        <f t="shared" si="8"/>
        <v xml:space="preserve"> </v>
      </c>
      <c r="B59" s="10"/>
      <c r="C59" s="18"/>
      <c r="D59" s="21" t="str">
        <f>IF(C59&lt;&gt;"",INDEX(Segédlet!$B$5:$B$37,MATCH(C59,Segédlet!$C$5:$C$37,0)),"")</f>
        <v/>
      </c>
      <c r="E59" s="19"/>
      <c r="F59" s="8"/>
      <c r="G59" s="5" t="str">
        <f t="shared" si="5"/>
        <v/>
      </c>
      <c r="H59" s="8" t="str">
        <f t="shared" si="0"/>
        <v/>
      </c>
      <c r="I59" s="8" t="str">
        <f t="shared" si="1"/>
        <v/>
      </c>
      <c r="J59" s="8" t="str">
        <f t="shared" si="2"/>
        <v/>
      </c>
      <c r="K59" s="11"/>
      <c r="L59" s="11" t="str">
        <f t="shared" si="3"/>
        <v/>
      </c>
      <c r="M59" s="20"/>
      <c r="N59" s="6" t="str">
        <f>IF(B59&lt;&gt;"",IF(AND(I59&gt;0,R59&gt;0),(K59+J59-I59)*VLOOKUP(M59,Segédlet!$I$5:$J$12,2,0),(K59+J59)*VLOOKUP(M59,Segédlet!$I$5:$J$12,2,0)),"")</f>
        <v/>
      </c>
      <c r="O59" s="6" t="str">
        <f>IF(B59&lt;&gt;"",IF(G59&lt;=14,G59*J59*VLOOKUP(C59,Segédlet!$C$5:$G$37,4,0),J59*14*VLOOKUP(C59,Segédlet!$C$5:$G$37,4,0)+(G59-14)*J59*VLOOKUP(C59,Segédlet!$C$5:$G$37,5,0)),"")</f>
        <v/>
      </c>
      <c r="P59" s="6" t="str">
        <f>IF(B59&lt;&gt;"",IF(G59&lt;=14,G59*K59*VLOOKUP(C59,Segédlet!$C$5:$G$37,4,0),K59*14*VLOOKUP(C59,Segédlet!$C$5:$G$37,4,0)+(G59-14)*K59*VLOOKUP(C59,Segédlet!$C$5:$G$37,5,0)),"")</f>
        <v/>
      </c>
      <c r="Q59" s="12" t="str">
        <f t="shared" si="6"/>
        <v/>
      </c>
      <c r="R59" s="12" t="str">
        <f t="shared" si="7"/>
        <v/>
      </c>
      <c r="S59" s="22" t="str">
        <f t="shared" si="9"/>
        <v/>
      </c>
    </row>
    <row r="60" spans="1:19" x14ac:dyDescent="0.2">
      <c r="A60" s="57" t="str">
        <f t="shared" si="8"/>
        <v xml:space="preserve"> </v>
      </c>
      <c r="B60" s="10"/>
      <c r="C60" s="18"/>
      <c r="D60" s="21" t="str">
        <f>IF(C60&lt;&gt;"",INDEX(Segédlet!$B$5:$B$37,MATCH(C60,Segédlet!$C$5:$C$37,0)),"")</f>
        <v/>
      </c>
      <c r="E60" s="19"/>
      <c r="F60" s="8"/>
      <c r="G60" s="5" t="str">
        <f t="shared" si="5"/>
        <v/>
      </c>
      <c r="H60" s="8" t="str">
        <f t="shared" si="0"/>
        <v/>
      </c>
      <c r="I60" s="8" t="str">
        <f t="shared" si="1"/>
        <v/>
      </c>
      <c r="J60" s="8" t="str">
        <f t="shared" si="2"/>
        <v/>
      </c>
      <c r="K60" s="11"/>
      <c r="L60" s="11" t="str">
        <f t="shared" si="3"/>
        <v/>
      </c>
      <c r="M60" s="20"/>
      <c r="N60" s="6" t="str">
        <f>IF(B60&lt;&gt;"",IF(AND(I60&gt;0,R60&gt;0),(K60+J60-I60)*VLOOKUP(M60,Segédlet!$I$5:$J$12,2,0),(K60+J60)*VLOOKUP(M60,Segédlet!$I$5:$J$12,2,0)),"")</f>
        <v/>
      </c>
      <c r="O60" s="6" t="str">
        <f>IF(B60&lt;&gt;"",IF(G60&lt;=14,G60*J60*VLOOKUP(C60,Segédlet!$C$5:$G$37,4,0),J60*14*VLOOKUP(C60,Segédlet!$C$5:$G$37,4,0)+(G60-14)*J60*VLOOKUP(C60,Segédlet!$C$5:$G$37,5,0)),"")</f>
        <v/>
      </c>
      <c r="P60" s="6" t="str">
        <f>IF(B60&lt;&gt;"",IF(G60&lt;=14,G60*K60*VLOOKUP(C60,Segédlet!$C$5:$G$37,4,0),K60*14*VLOOKUP(C60,Segédlet!$C$5:$G$37,4,0)+(G60-14)*K60*VLOOKUP(C60,Segédlet!$C$5:$G$37,5,0)),"")</f>
        <v/>
      </c>
      <c r="Q60" s="12" t="str">
        <f t="shared" si="6"/>
        <v/>
      </c>
      <c r="R60" s="12" t="str">
        <f t="shared" si="7"/>
        <v/>
      </c>
      <c r="S60" s="22" t="str">
        <f t="shared" si="9"/>
        <v/>
      </c>
    </row>
    <row r="61" spans="1:19" x14ac:dyDescent="0.2">
      <c r="A61" s="57" t="str">
        <f t="shared" si="8"/>
        <v xml:space="preserve"> </v>
      </c>
      <c r="B61" s="10"/>
      <c r="C61" s="18"/>
      <c r="D61" s="21" t="str">
        <f>IF(C61&lt;&gt;"",INDEX(Segédlet!$B$5:$B$37,MATCH(C61,Segédlet!$C$5:$C$37,0)),"")</f>
        <v/>
      </c>
      <c r="E61" s="19"/>
      <c r="F61" s="8"/>
      <c r="G61" s="5" t="str">
        <f t="shared" si="5"/>
        <v/>
      </c>
      <c r="H61" s="8" t="str">
        <f t="shared" si="0"/>
        <v/>
      </c>
      <c r="I61" s="8" t="str">
        <f t="shared" si="1"/>
        <v/>
      </c>
      <c r="J61" s="8" t="str">
        <f t="shared" si="2"/>
        <v/>
      </c>
      <c r="K61" s="11"/>
      <c r="L61" s="11" t="str">
        <f t="shared" si="3"/>
        <v/>
      </c>
      <c r="M61" s="20"/>
      <c r="N61" s="6" t="str">
        <f>IF(B61&lt;&gt;"",IF(AND(I61&gt;0,R61&gt;0),(K61+J61-I61)*VLOOKUP(M61,Segédlet!$I$5:$J$12,2,0),(K61+J61)*VLOOKUP(M61,Segédlet!$I$5:$J$12,2,0)),"")</f>
        <v/>
      </c>
      <c r="O61" s="6" t="str">
        <f>IF(B61&lt;&gt;"",IF(G61&lt;=14,G61*J61*VLOOKUP(C61,Segédlet!$C$5:$G$37,4,0),J61*14*VLOOKUP(C61,Segédlet!$C$5:$G$37,4,0)+(G61-14)*J61*VLOOKUP(C61,Segédlet!$C$5:$G$37,5,0)),"")</f>
        <v/>
      </c>
      <c r="P61" s="6" t="str">
        <f>IF(B61&lt;&gt;"",IF(G61&lt;=14,G61*K61*VLOOKUP(C61,Segédlet!$C$5:$G$37,4,0),K61*14*VLOOKUP(C61,Segédlet!$C$5:$G$37,4,0)+(G61-14)*K61*VLOOKUP(C61,Segédlet!$C$5:$G$37,5,0)),"")</f>
        <v/>
      </c>
      <c r="Q61" s="12" t="str">
        <f t="shared" si="6"/>
        <v/>
      </c>
      <c r="R61" s="12" t="str">
        <f t="shared" si="7"/>
        <v/>
      </c>
      <c r="S61" s="22" t="str">
        <f t="shared" si="9"/>
        <v/>
      </c>
    </row>
    <row r="62" spans="1:19" x14ac:dyDescent="0.2">
      <c r="A62" s="57" t="str">
        <f t="shared" si="8"/>
        <v xml:space="preserve"> </v>
      </c>
      <c r="B62" s="10"/>
      <c r="C62" s="18"/>
      <c r="D62" s="21" t="str">
        <f>IF(C62&lt;&gt;"",INDEX(Segédlet!$B$5:$B$37,MATCH(C62,Segédlet!$C$5:$C$37,0)),"")</f>
        <v/>
      </c>
      <c r="E62" s="19"/>
      <c r="F62" s="8"/>
      <c r="G62" s="5" t="str">
        <f t="shared" si="5"/>
        <v/>
      </c>
      <c r="H62" s="8" t="str">
        <f t="shared" si="0"/>
        <v/>
      </c>
      <c r="I62" s="8" t="str">
        <f t="shared" si="1"/>
        <v/>
      </c>
      <c r="J62" s="8" t="str">
        <f t="shared" si="2"/>
        <v/>
      </c>
      <c r="K62" s="11"/>
      <c r="L62" s="11" t="str">
        <f t="shared" si="3"/>
        <v/>
      </c>
      <c r="M62" s="20"/>
      <c r="N62" s="6" t="str">
        <f>IF(B62&lt;&gt;"",IF(AND(I62&gt;0,R62&gt;0),(K62+J62-I62)*VLOOKUP(M62,Segédlet!$I$5:$J$12,2,0),(K62+J62)*VLOOKUP(M62,Segédlet!$I$5:$J$12,2,0)),"")</f>
        <v/>
      </c>
      <c r="O62" s="6" t="str">
        <f>IF(B62&lt;&gt;"",IF(G62&lt;=14,G62*J62*VLOOKUP(C62,Segédlet!$C$5:$G$37,4,0),J62*14*VLOOKUP(C62,Segédlet!$C$5:$G$37,4,0)+(G62-14)*J62*VLOOKUP(C62,Segédlet!$C$5:$G$37,5,0)),"")</f>
        <v/>
      </c>
      <c r="P62" s="6" t="str">
        <f>IF(B62&lt;&gt;"",IF(G62&lt;=14,G62*K62*VLOOKUP(C62,Segédlet!$C$5:$G$37,4,0),K62*14*VLOOKUP(C62,Segédlet!$C$5:$G$37,4,0)+(G62-14)*K62*VLOOKUP(C62,Segédlet!$C$5:$G$37,5,0)),"")</f>
        <v/>
      </c>
      <c r="Q62" s="12" t="str">
        <f t="shared" si="6"/>
        <v/>
      </c>
      <c r="R62" s="12" t="str">
        <f t="shared" si="7"/>
        <v/>
      </c>
      <c r="S62" s="22" t="str">
        <f t="shared" si="9"/>
        <v/>
      </c>
    </row>
    <row r="63" spans="1:19" x14ac:dyDescent="0.2">
      <c r="A63" s="57" t="str">
        <f t="shared" si="8"/>
        <v xml:space="preserve"> </v>
      </c>
      <c r="B63" s="10"/>
      <c r="C63" s="18"/>
      <c r="D63" s="21" t="str">
        <f>IF(C63&lt;&gt;"",INDEX(Segédlet!$B$5:$B$37,MATCH(C63,Segédlet!$C$5:$C$37,0)),"")</f>
        <v/>
      </c>
      <c r="E63" s="19"/>
      <c r="F63" s="8"/>
      <c r="G63" s="5" t="str">
        <f t="shared" si="5"/>
        <v/>
      </c>
      <c r="H63" s="8" t="str">
        <f t="shared" si="0"/>
        <v/>
      </c>
      <c r="I63" s="8" t="str">
        <f t="shared" si="1"/>
        <v/>
      </c>
      <c r="J63" s="8" t="str">
        <f t="shared" si="2"/>
        <v/>
      </c>
      <c r="K63" s="11"/>
      <c r="L63" s="11" t="str">
        <f t="shared" si="3"/>
        <v/>
      </c>
      <c r="M63" s="20"/>
      <c r="N63" s="6" t="str">
        <f>IF(B63&lt;&gt;"",IF(AND(I63&gt;0,R63&gt;0),(K63+J63-I63)*VLOOKUP(M63,Segédlet!$I$5:$J$12,2,0),(K63+J63)*VLOOKUP(M63,Segédlet!$I$5:$J$12,2,0)),"")</f>
        <v/>
      </c>
      <c r="O63" s="6" t="str">
        <f>IF(B63&lt;&gt;"",IF(G63&lt;=14,G63*J63*VLOOKUP(C63,Segédlet!$C$5:$G$37,4,0),J63*14*VLOOKUP(C63,Segédlet!$C$5:$G$37,4,0)+(G63-14)*J63*VLOOKUP(C63,Segédlet!$C$5:$G$37,5,0)),"")</f>
        <v/>
      </c>
      <c r="P63" s="6" t="str">
        <f>IF(B63&lt;&gt;"",IF(G63&lt;=14,G63*K63*VLOOKUP(C63,Segédlet!$C$5:$G$37,4,0),K63*14*VLOOKUP(C63,Segédlet!$C$5:$G$37,4,0)+(G63-14)*K63*VLOOKUP(C63,Segédlet!$C$5:$G$37,5,0)),"")</f>
        <v/>
      </c>
      <c r="Q63" s="12" t="str">
        <f t="shared" si="6"/>
        <v/>
      </c>
      <c r="R63" s="12" t="str">
        <f t="shared" si="7"/>
        <v/>
      </c>
      <c r="S63" s="22" t="str">
        <f t="shared" si="9"/>
        <v/>
      </c>
    </row>
    <row r="64" spans="1:19" x14ac:dyDescent="0.2">
      <c r="A64" s="57" t="str">
        <f t="shared" si="8"/>
        <v xml:space="preserve"> </v>
      </c>
      <c r="B64" s="10"/>
      <c r="C64" s="18"/>
      <c r="D64" s="21" t="str">
        <f>IF(C64&lt;&gt;"",INDEX(Segédlet!$B$5:$B$37,MATCH(C64,Segédlet!$C$5:$C$37,0)),"")</f>
        <v/>
      </c>
      <c r="E64" s="19"/>
      <c r="F64" s="8"/>
      <c r="G64" s="5" t="str">
        <f t="shared" si="5"/>
        <v/>
      </c>
      <c r="H64" s="8" t="str">
        <f t="shared" si="0"/>
        <v/>
      </c>
      <c r="I64" s="8" t="str">
        <f t="shared" si="1"/>
        <v/>
      </c>
      <c r="J64" s="8" t="str">
        <f t="shared" si="2"/>
        <v/>
      </c>
      <c r="K64" s="11"/>
      <c r="L64" s="11" t="str">
        <f t="shared" si="3"/>
        <v/>
      </c>
      <c r="M64" s="20"/>
      <c r="N64" s="6" t="str">
        <f>IF(B64&lt;&gt;"",IF(AND(I64&gt;0,R64&gt;0),(K64+J64-I64)*VLOOKUP(M64,Segédlet!$I$5:$J$12,2,0),(K64+J64)*VLOOKUP(M64,Segédlet!$I$5:$J$12,2,0)),"")</f>
        <v/>
      </c>
      <c r="O64" s="6" t="str">
        <f>IF(B64&lt;&gt;"",IF(G64&lt;=14,G64*J64*VLOOKUP(C64,Segédlet!$C$5:$G$37,4,0),J64*14*VLOOKUP(C64,Segédlet!$C$5:$G$37,4,0)+(G64-14)*J64*VLOOKUP(C64,Segédlet!$C$5:$G$37,5,0)),"")</f>
        <v/>
      </c>
      <c r="P64" s="6" t="str">
        <f>IF(B64&lt;&gt;"",IF(G64&lt;=14,G64*K64*VLOOKUP(C64,Segédlet!$C$5:$G$37,4,0),K64*14*VLOOKUP(C64,Segédlet!$C$5:$G$37,4,0)+(G64-14)*K64*VLOOKUP(C64,Segédlet!$C$5:$G$37,5,0)),"")</f>
        <v/>
      </c>
      <c r="Q64" s="12" t="str">
        <f t="shared" si="6"/>
        <v/>
      </c>
      <c r="R64" s="12" t="str">
        <f t="shared" si="7"/>
        <v/>
      </c>
      <c r="S64" s="22" t="str">
        <f t="shared" si="9"/>
        <v/>
      </c>
    </row>
    <row r="65" spans="1:19" x14ac:dyDescent="0.2">
      <c r="A65" s="57" t="str">
        <f t="shared" si="8"/>
        <v xml:space="preserve"> </v>
      </c>
      <c r="B65" s="10"/>
      <c r="C65" s="18"/>
      <c r="D65" s="21" t="str">
        <f>IF(C65&lt;&gt;"",INDEX(Segédlet!$B$5:$B$37,MATCH(C65,Segédlet!$C$5:$C$37,0)),"")</f>
        <v/>
      </c>
      <c r="E65" s="19"/>
      <c r="F65" s="8"/>
      <c r="G65" s="5" t="str">
        <f t="shared" si="5"/>
        <v/>
      </c>
      <c r="H65" s="8" t="str">
        <f t="shared" si="0"/>
        <v/>
      </c>
      <c r="I65" s="8" t="str">
        <f t="shared" si="1"/>
        <v/>
      </c>
      <c r="J65" s="8" t="str">
        <f t="shared" si="2"/>
        <v/>
      </c>
      <c r="K65" s="11"/>
      <c r="L65" s="11" t="str">
        <f t="shared" si="3"/>
        <v/>
      </c>
      <c r="M65" s="20"/>
      <c r="N65" s="6" t="str">
        <f>IF(B65&lt;&gt;"",IF(AND(I65&gt;0,R65&gt;0),(K65+J65-I65)*VLOOKUP(M65,Segédlet!$I$5:$J$12,2,0),(K65+J65)*VLOOKUP(M65,Segédlet!$I$5:$J$12,2,0)),"")</f>
        <v/>
      </c>
      <c r="O65" s="6" t="str">
        <f>IF(B65&lt;&gt;"",IF(G65&lt;=14,G65*J65*VLOOKUP(C65,Segédlet!$C$5:$G$37,4,0),J65*14*VLOOKUP(C65,Segédlet!$C$5:$G$37,4,0)+(G65-14)*J65*VLOOKUP(C65,Segédlet!$C$5:$G$37,5,0)),"")</f>
        <v/>
      </c>
      <c r="P65" s="6" t="str">
        <f>IF(B65&lt;&gt;"",IF(G65&lt;=14,G65*K65*VLOOKUP(C65,Segédlet!$C$5:$G$37,4,0),K65*14*VLOOKUP(C65,Segédlet!$C$5:$G$37,4,0)+(G65-14)*K65*VLOOKUP(C65,Segédlet!$C$5:$G$37,5,0)),"")</f>
        <v/>
      </c>
      <c r="Q65" s="12" t="str">
        <f t="shared" si="6"/>
        <v/>
      </c>
      <c r="R65" s="12" t="str">
        <f t="shared" si="7"/>
        <v/>
      </c>
      <c r="S65" s="22" t="str">
        <f t="shared" si="9"/>
        <v/>
      </c>
    </row>
    <row r="66" spans="1:19" x14ac:dyDescent="0.2">
      <c r="A66" s="57" t="str">
        <f t="shared" si="8"/>
        <v xml:space="preserve"> </v>
      </c>
      <c r="B66" s="10"/>
      <c r="C66" s="18"/>
      <c r="D66" s="21" t="str">
        <f>IF(C66&lt;&gt;"",INDEX(Segédlet!$B$5:$B$37,MATCH(C66,Segédlet!$C$5:$C$37,0)),"")</f>
        <v/>
      </c>
      <c r="E66" s="19"/>
      <c r="F66" s="8"/>
      <c r="G66" s="5" t="str">
        <f t="shared" si="5"/>
        <v/>
      </c>
      <c r="H66" s="8" t="str">
        <f t="shared" si="0"/>
        <v/>
      </c>
      <c r="I66" s="8" t="str">
        <f t="shared" si="1"/>
        <v/>
      </c>
      <c r="J66" s="8" t="str">
        <f t="shared" si="2"/>
        <v/>
      </c>
      <c r="K66" s="11"/>
      <c r="L66" s="11" t="str">
        <f t="shared" si="3"/>
        <v/>
      </c>
      <c r="M66" s="20"/>
      <c r="N66" s="6" t="str">
        <f>IF(B66&lt;&gt;"",IF(AND(I66&gt;0,R66&gt;0),(K66+J66-I66)*VLOOKUP(M66,Segédlet!$I$5:$J$12,2,0),(K66+J66)*VLOOKUP(M66,Segédlet!$I$5:$J$12,2,0)),"")</f>
        <v/>
      </c>
      <c r="O66" s="6" t="str">
        <f>IF(B66&lt;&gt;"",IF(G66&lt;=14,G66*J66*VLOOKUP(C66,Segédlet!$C$5:$G$37,4,0),J66*14*VLOOKUP(C66,Segédlet!$C$5:$G$37,4,0)+(G66-14)*J66*VLOOKUP(C66,Segédlet!$C$5:$G$37,5,0)),"")</f>
        <v/>
      </c>
      <c r="P66" s="6" t="str">
        <f>IF(B66&lt;&gt;"",IF(G66&lt;=14,G66*K66*VLOOKUP(C66,Segédlet!$C$5:$G$37,4,0),K66*14*VLOOKUP(C66,Segédlet!$C$5:$G$37,4,0)+(G66-14)*K66*VLOOKUP(C66,Segédlet!$C$5:$G$37,5,0)),"")</f>
        <v/>
      </c>
      <c r="Q66" s="12" t="str">
        <f t="shared" si="6"/>
        <v/>
      </c>
      <c r="R66" s="12" t="str">
        <f t="shared" si="7"/>
        <v/>
      </c>
      <c r="S66" s="22" t="str">
        <f t="shared" si="9"/>
        <v/>
      </c>
    </row>
    <row r="67" spans="1:19" x14ac:dyDescent="0.2">
      <c r="A67" s="57" t="str">
        <f t="shared" si="8"/>
        <v xml:space="preserve"> </v>
      </c>
      <c r="B67" s="10"/>
      <c r="C67" s="18"/>
      <c r="D67" s="21" t="str">
        <f>IF(C67&lt;&gt;"",INDEX(Segédlet!$B$5:$B$37,MATCH(C67,Segédlet!$C$5:$C$37,0)),"")</f>
        <v/>
      </c>
      <c r="E67" s="19"/>
      <c r="F67" s="8"/>
      <c r="G67" s="5" t="str">
        <f t="shared" si="5"/>
        <v/>
      </c>
      <c r="H67" s="8" t="str">
        <f t="shared" si="0"/>
        <v/>
      </c>
      <c r="I67" s="8" t="str">
        <f t="shared" si="1"/>
        <v/>
      </c>
      <c r="J67" s="8" t="str">
        <f t="shared" si="2"/>
        <v/>
      </c>
      <c r="K67" s="11"/>
      <c r="L67" s="11" t="str">
        <f t="shared" si="3"/>
        <v/>
      </c>
      <c r="M67" s="20"/>
      <c r="N67" s="6" t="str">
        <f>IF(B67&lt;&gt;"",IF(AND(I67&gt;0,R67&gt;0),(K67+J67-I67)*VLOOKUP(M67,Segédlet!$I$5:$J$12,2,0),(K67+J67)*VLOOKUP(M67,Segédlet!$I$5:$J$12,2,0)),"")</f>
        <v/>
      </c>
      <c r="O67" s="6" t="str">
        <f>IF(B67&lt;&gt;"",IF(G67&lt;=14,G67*J67*VLOOKUP(C67,Segédlet!$C$5:$G$37,4,0),J67*14*VLOOKUP(C67,Segédlet!$C$5:$G$37,4,0)+(G67-14)*J67*VLOOKUP(C67,Segédlet!$C$5:$G$37,5,0)),"")</f>
        <v/>
      </c>
      <c r="P67" s="6" t="str">
        <f>IF(B67&lt;&gt;"",IF(G67&lt;=14,G67*K67*VLOOKUP(C67,Segédlet!$C$5:$G$37,4,0),K67*14*VLOOKUP(C67,Segédlet!$C$5:$G$37,4,0)+(G67-14)*K67*VLOOKUP(C67,Segédlet!$C$5:$G$37,5,0)),"")</f>
        <v/>
      </c>
      <c r="Q67" s="12" t="str">
        <f t="shared" si="6"/>
        <v/>
      </c>
      <c r="R67" s="12" t="str">
        <f t="shared" si="7"/>
        <v/>
      </c>
      <c r="S67" s="22" t="str">
        <f t="shared" si="9"/>
        <v/>
      </c>
    </row>
    <row r="68" spans="1:19" x14ac:dyDescent="0.2">
      <c r="A68" s="57" t="str">
        <f t="shared" si="8"/>
        <v xml:space="preserve"> </v>
      </c>
      <c r="B68" s="10"/>
      <c r="C68" s="18"/>
      <c r="D68" s="21" t="str">
        <f>IF(C68&lt;&gt;"",INDEX(Segédlet!$B$5:$B$37,MATCH(C68,Segédlet!$C$5:$C$37,0)),"")</f>
        <v/>
      </c>
      <c r="E68" s="19"/>
      <c r="F68" s="8"/>
      <c r="G68" s="5" t="str">
        <f t="shared" si="5"/>
        <v/>
      </c>
      <c r="H68" s="8" t="str">
        <f t="shared" si="0"/>
        <v/>
      </c>
      <c r="I68" s="8" t="str">
        <f t="shared" si="1"/>
        <v/>
      </c>
      <c r="J68" s="8" t="str">
        <f t="shared" si="2"/>
        <v/>
      </c>
      <c r="K68" s="11"/>
      <c r="L68" s="11" t="str">
        <f t="shared" si="3"/>
        <v/>
      </c>
      <c r="M68" s="20"/>
      <c r="N68" s="6" t="str">
        <f>IF(B68&lt;&gt;"",IF(AND(I68&gt;0,R68&gt;0),(K68+J68-I68)*VLOOKUP(M68,Segédlet!$I$5:$J$12,2,0),(K68+J68)*VLOOKUP(M68,Segédlet!$I$5:$J$12,2,0)),"")</f>
        <v/>
      </c>
      <c r="O68" s="6" t="str">
        <f>IF(B68&lt;&gt;"",IF(G68&lt;=14,G68*J68*VLOOKUP(C68,Segédlet!$C$5:$G$37,4,0),J68*14*VLOOKUP(C68,Segédlet!$C$5:$G$37,4,0)+(G68-14)*J68*VLOOKUP(C68,Segédlet!$C$5:$G$37,5,0)),"")</f>
        <v/>
      </c>
      <c r="P68" s="6" t="str">
        <f>IF(B68&lt;&gt;"",IF(G68&lt;=14,G68*K68*VLOOKUP(C68,Segédlet!$C$5:$G$37,4,0),K68*14*VLOOKUP(C68,Segédlet!$C$5:$G$37,4,0)+(G68-14)*K68*VLOOKUP(C68,Segédlet!$C$5:$G$37,5,0)),"")</f>
        <v/>
      </c>
      <c r="Q68" s="12" t="str">
        <f t="shared" si="6"/>
        <v/>
      </c>
      <c r="R68" s="12" t="str">
        <f t="shared" si="7"/>
        <v/>
      </c>
      <c r="S68" s="22" t="str">
        <f t="shared" si="9"/>
        <v/>
      </c>
    </row>
    <row r="69" spans="1:19" x14ac:dyDescent="0.2">
      <c r="A69" s="57" t="str">
        <f t="shared" si="8"/>
        <v xml:space="preserve"> </v>
      </c>
      <c r="B69" s="10"/>
      <c r="C69" s="18"/>
      <c r="D69" s="21" t="str">
        <f>IF(C69&lt;&gt;"",INDEX(Segédlet!$B$5:$B$37,MATCH(C69,Segédlet!$C$5:$C$37,0)),"")</f>
        <v/>
      </c>
      <c r="E69" s="19"/>
      <c r="F69" s="8"/>
      <c r="G69" s="5" t="str">
        <f t="shared" si="5"/>
        <v/>
      </c>
      <c r="H69" s="8" t="str">
        <f t="shared" si="0"/>
        <v/>
      </c>
      <c r="I69" s="8" t="str">
        <f t="shared" si="1"/>
        <v/>
      </c>
      <c r="J69" s="8" t="str">
        <f t="shared" si="2"/>
        <v/>
      </c>
      <c r="K69" s="11"/>
      <c r="L69" s="11" t="str">
        <f t="shared" si="3"/>
        <v/>
      </c>
      <c r="M69" s="20"/>
      <c r="N69" s="6" t="str">
        <f>IF(B69&lt;&gt;"",IF(AND(I69&gt;0,R69&gt;0),(K69+J69-I69)*VLOOKUP(M69,Segédlet!$I$5:$J$12,2,0),(K69+J69)*VLOOKUP(M69,Segédlet!$I$5:$J$12,2,0)),"")</f>
        <v/>
      </c>
      <c r="O69" s="6" t="str">
        <f>IF(B69&lt;&gt;"",IF(G69&lt;=14,G69*J69*VLOOKUP(C69,Segédlet!$C$5:$G$37,4,0),J69*14*VLOOKUP(C69,Segédlet!$C$5:$G$37,4,0)+(G69-14)*J69*VLOOKUP(C69,Segédlet!$C$5:$G$37,5,0)),"")</f>
        <v/>
      </c>
      <c r="P69" s="6" t="str">
        <f>IF(B69&lt;&gt;"",IF(G69&lt;=14,G69*K69*VLOOKUP(C69,Segédlet!$C$5:$G$37,4,0),K69*14*VLOOKUP(C69,Segédlet!$C$5:$G$37,4,0)+(G69-14)*K69*VLOOKUP(C69,Segédlet!$C$5:$G$37,5,0)),"")</f>
        <v/>
      </c>
      <c r="Q69" s="12" t="str">
        <f t="shared" si="6"/>
        <v/>
      </c>
      <c r="R69" s="12" t="str">
        <f t="shared" si="7"/>
        <v/>
      </c>
      <c r="S69" s="22" t="str">
        <f t="shared" si="9"/>
        <v/>
      </c>
    </row>
    <row r="70" spans="1:19" x14ac:dyDescent="0.2">
      <c r="A70" s="57" t="str">
        <f t="shared" si="8"/>
        <v xml:space="preserve"> </v>
      </c>
      <c r="B70" s="10"/>
      <c r="C70" s="18"/>
      <c r="D70" s="21" t="str">
        <f>IF(C70&lt;&gt;"",INDEX(Segédlet!$B$5:$B$37,MATCH(C70,Segédlet!$C$5:$C$37,0)),"")</f>
        <v/>
      </c>
      <c r="E70" s="19"/>
      <c r="F70" s="8"/>
      <c r="G70" s="5" t="str">
        <f t="shared" si="5"/>
        <v/>
      </c>
      <c r="H70" s="8" t="str">
        <f t="shared" si="0"/>
        <v/>
      </c>
      <c r="I70" s="8" t="str">
        <f t="shared" si="1"/>
        <v/>
      </c>
      <c r="J70" s="8" t="str">
        <f t="shared" si="2"/>
        <v/>
      </c>
      <c r="K70" s="11"/>
      <c r="L70" s="11" t="str">
        <f t="shared" si="3"/>
        <v/>
      </c>
      <c r="M70" s="20"/>
      <c r="N70" s="6" t="str">
        <f>IF(B70&lt;&gt;"",IF(AND(I70&gt;0,R70&gt;0),(K70+J70-I70)*VLOOKUP(M70,Segédlet!$I$5:$J$12,2,0),(K70+J70)*VLOOKUP(M70,Segédlet!$I$5:$J$12,2,0)),"")</f>
        <v/>
      </c>
      <c r="O70" s="6" t="str">
        <f>IF(B70&lt;&gt;"",IF(G70&lt;=14,G70*J70*VLOOKUP(C70,Segédlet!$C$5:$G$37,4,0),J70*14*VLOOKUP(C70,Segédlet!$C$5:$G$37,4,0)+(G70-14)*J70*VLOOKUP(C70,Segédlet!$C$5:$G$37,5,0)),"")</f>
        <v/>
      </c>
      <c r="P70" s="6" t="str">
        <f>IF(B70&lt;&gt;"",IF(G70&lt;=14,G70*K70*VLOOKUP(C70,Segédlet!$C$5:$G$37,4,0),K70*14*VLOOKUP(C70,Segédlet!$C$5:$G$37,4,0)+(G70-14)*K70*VLOOKUP(C70,Segédlet!$C$5:$G$37,5,0)),"")</f>
        <v/>
      </c>
      <c r="Q70" s="12" t="str">
        <f t="shared" si="6"/>
        <v/>
      </c>
      <c r="R70" s="12" t="str">
        <f t="shared" si="7"/>
        <v/>
      </c>
      <c r="S70" s="22" t="str">
        <f t="shared" si="9"/>
        <v/>
      </c>
    </row>
    <row r="71" spans="1:19" x14ac:dyDescent="0.2">
      <c r="A71" s="57" t="str">
        <f t="shared" si="8"/>
        <v xml:space="preserve"> </v>
      </c>
      <c r="B71" s="10"/>
      <c r="C71" s="18"/>
      <c r="D71" s="21" t="str">
        <f>IF(C71&lt;&gt;"",INDEX(Segédlet!$B$5:$B$37,MATCH(C71,Segédlet!$C$5:$C$37,0)),"")</f>
        <v/>
      </c>
      <c r="E71" s="19"/>
      <c r="F71" s="8"/>
      <c r="G71" s="5" t="str">
        <f t="shared" ref="G71:G106" si="10">IF(B71&lt;&gt;"",E71+F71,"")</f>
        <v/>
      </c>
      <c r="H71" s="8" t="str">
        <f t="shared" ref="H71:H106" si="11">IF(B71&lt;&gt;"",0,"")</f>
        <v/>
      </c>
      <c r="I71" s="8" t="str">
        <f t="shared" ref="I71:I106" si="12">IF(B71&lt;&gt;"",0,"")</f>
        <v/>
      </c>
      <c r="J71" s="8" t="str">
        <f t="shared" si="2"/>
        <v/>
      </c>
      <c r="K71" s="11"/>
      <c r="L71" s="11" t="str">
        <f t="shared" si="3"/>
        <v/>
      </c>
      <c r="M71" s="20"/>
      <c r="N71" s="6" t="str">
        <f>IF(B71&lt;&gt;"",IF(AND(I71&gt;0,R71&gt;0),(K71+J71-I71)*VLOOKUP(M71,Segédlet!$I$5:$J$12,2,0),(K71+J71)*VLOOKUP(M71,Segédlet!$I$5:$J$12,2,0)),"")</f>
        <v/>
      </c>
      <c r="O71" s="6" t="str">
        <f>IF(B71&lt;&gt;"",IF(G71&lt;=14,G71*J71*VLOOKUP(C71,Segédlet!$C$5:$G$37,4,0),J71*14*VLOOKUP(C71,Segédlet!$C$5:$G$37,4,0)+(G71-14)*J71*VLOOKUP(C71,Segédlet!$C$5:$G$37,5,0)),"")</f>
        <v/>
      </c>
      <c r="P71" s="6" t="str">
        <f>IF(B71&lt;&gt;"",IF(G71&lt;=14,G71*K71*VLOOKUP(C71,Segédlet!$C$5:$G$37,4,0),K71*14*VLOOKUP(C71,Segédlet!$C$5:$G$37,4,0)+(G71-14)*K71*VLOOKUP(C71,Segédlet!$C$5:$G$37,5,0)),"")</f>
        <v/>
      </c>
      <c r="Q71" s="12" t="str">
        <f t="shared" si="6"/>
        <v/>
      </c>
      <c r="R71" s="12" t="str">
        <f t="shared" si="7"/>
        <v/>
      </c>
      <c r="S71" s="22" t="str">
        <f t="shared" ref="S71:S102" si="13">IF(B71&lt;&gt;"",SUM(N71:R71),"")</f>
        <v/>
      </c>
    </row>
    <row r="72" spans="1:19" x14ac:dyDescent="0.2">
      <c r="A72" s="57" t="str">
        <f t="shared" si="8"/>
        <v xml:space="preserve"> </v>
      </c>
      <c r="B72" s="10"/>
      <c r="C72" s="18"/>
      <c r="D72" s="21" t="str">
        <f>IF(C72&lt;&gt;"",INDEX(Segédlet!$B$5:$B$37,MATCH(C72,Segédlet!$C$5:$C$37,0)),"")</f>
        <v/>
      </c>
      <c r="E72" s="19"/>
      <c r="F72" s="8"/>
      <c r="G72" s="5" t="str">
        <f t="shared" si="10"/>
        <v/>
      </c>
      <c r="H72" s="8" t="str">
        <f t="shared" si="11"/>
        <v/>
      </c>
      <c r="I72" s="8" t="str">
        <f t="shared" si="12"/>
        <v/>
      </c>
      <c r="J72" s="8" t="str">
        <f t="shared" ref="J72:J106" si="14">IF(B72&lt;&gt;"",0,"")</f>
        <v/>
      </c>
      <c r="K72" s="11"/>
      <c r="L72" s="11" t="str">
        <f t="shared" ref="L72:L106" si="15">IF(B72&lt;&gt;"",0,"")</f>
        <v/>
      </c>
      <c r="M72" s="20"/>
      <c r="N72" s="6" t="str">
        <f>IF(B72&lt;&gt;"",IF(AND(I72&gt;0,R72&gt;0),(K72+J72-I72)*VLOOKUP(M72,Segédlet!$I$5:$J$12,2,0),(K72+J72)*VLOOKUP(M72,Segédlet!$I$5:$J$12,2,0)),"")</f>
        <v/>
      </c>
      <c r="O72" s="6" t="str">
        <f>IF(B72&lt;&gt;"",IF(G72&lt;=14,G72*J72*VLOOKUP(C72,Segédlet!$C$5:$G$37,4,0),J72*14*VLOOKUP(C72,Segédlet!$C$5:$G$37,4,0)+(G72-14)*J72*VLOOKUP(C72,Segédlet!$C$5:$G$37,5,0)),"")</f>
        <v/>
      </c>
      <c r="P72" s="6" t="str">
        <f>IF(B72&lt;&gt;"",IF(G72&lt;=14,G72*K72*VLOOKUP(C72,Segédlet!$C$5:$G$37,4,0),K72*14*VLOOKUP(C72,Segédlet!$C$5:$G$37,4,0)+(G72-14)*K72*VLOOKUP(C72,Segédlet!$C$5:$G$37,5,0)),"")</f>
        <v/>
      </c>
      <c r="Q72" s="12" t="str">
        <f t="shared" ref="Q72:Q106" si="16">IF(B72&lt;&gt;"",0,"")</f>
        <v/>
      </c>
      <c r="R72" s="12" t="str">
        <f t="shared" ref="R72:R106" si="17">IF(B72&lt;&gt;"",0,"")</f>
        <v/>
      </c>
      <c r="S72" s="22" t="str">
        <f t="shared" si="13"/>
        <v/>
      </c>
    </row>
    <row r="73" spans="1:19" x14ac:dyDescent="0.2">
      <c r="A73" s="57" t="str">
        <f t="shared" ref="A73:A106" si="18">IF(B73&lt;&gt;"",A72+1," ")</f>
        <v xml:space="preserve"> </v>
      </c>
      <c r="B73" s="10"/>
      <c r="C73" s="18"/>
      <c r="D73" s="21" t="str">
        <f>IF(C73&lt;&gt;"",INDEX(Segédlet!$B$5:$B$37,MATCH(C73,Segédlet!$C$5:$C$37,0)),"")</f>
        <v/>
      </c>
      <c r="E73" s="19"/>
      <c r="F73" s="8"/>
      <c r="G73" s="5" t="str">
        <f t="shared" si="10"/>
        <v/>
      </c>
      <c r="H73" s="8" t="str">
        <f t="shared" si="11"/>
        <v/>
      </c>
      <c r="I73" s="8" t="str">
        <f t="shared" si="12"/>
        <v/>
      </c>
      <c r="J73" s="8" t="str">
        <f t="shared" si="14"/>
        <v/>
      </c>
      <c r="K73" s="11"/>
      <c r="L73" s="11" t="str">
        <f t="shared" si="15"/>
        <v/>
      </c>
      <c r="M73" s="20"/>
      <c r="N73" s="6" t="str">
        <f>IF(B73&lt;&gt;"",IF(AND(I73&gt;0,R73&gt;0),(K73+J73-I73)*VLOOKUP(M73,Segédlet!$I$5:$J$12,2,0),(K73+J73)*VLOOKUP(M73,Segédlet!$I$5:$J$12,2,0)),"")</f>
        <v/>
      </c>
      <c r="O73" s="6" t="str">
        <f>IF(B73&lt;&gt;"",IF(G73&lt;=14,G73*J73*VLOOKUP(C73,Segédlet!$C$5:$G$37,4,0),J73*14*VLOOKUP(C73,Segédlet!$C$5:$G$37,4,0)+(G73-14)*J73*VLOOKUP(C73,Segédlet!$C$5:$G$37,5,0)),"")</f>
        <v/>
      </c>
      <c r="P73" s="6" t="str">
        <f>IF(B73&lt;&gt;"",IF(G73&lt;=14,G73*K73*VLOOKUP(C73,Segédlet!$C$5:$G$37,4,0),K73*14*VLOOKUP(C73,Segédlet!$C$5:$G$37,4,0)+(G73-14)*K73*VLOOKUP(C73,Segédlet!$C$5:$G$37,5,0)),"")</f>
        <v/>
      </c>
      <c r="Q73" s="12" t="str">
        <f t="shared" si="16"/>
        <v/>
      </c>
      <c r="R73" s="12" t="str">
        <f t="shared" si="17"/>
        <v/>
      </c>
      <c r="S73" s="22" t="str">
        <f t="shared" si="13"/>
        <v/>
      </c>
    </row>
    <row r="74" spans="1:19" x14ac:dyDescent="0.2">
      <c r="A74" s="57" t="str">
        <f t="shared" si="18"/>
        <v xml:space="preserve"> </v>
      </c>
      <c r="B74" s="10"/>
      <c r="C74" s="18"/>
      <c r="D74" s="21" t="str">
        <f>IF(C74&lt;&gt;"",INDEX(Segédlet!$B$5:$B$37,MATCH(C74,Segédlet!$C$5:$C$37,0)),"")</f>
        <v/>
      </c>
      <c r="E74" s="19"/>
      <c r="F74" s="8"/>
      <c r="G74" s="5" t="str">
        <f t="shared" si="10"/>
        <v/>
      </c>
      <c r="H74" s="8" t="str">
        <f t="shared" si="11"/>
        <v/>
      </c>
      <c r="I74" s="8" t="str">
        <f t="shared" si="12"/>
        <v/>
      </c>
      <c r="J74" s="8" t="str">
        <f t="shared" si="14"/>
        <v/>
      </c>
      <c r="K74" s="11"/>
      <c r="L74" s="11" t="str">
        <f t="shared" si="15"/>
        <v/>
      </c>
      <c r="M74" s="20"/>
      <c r="N74" s="6" t="str">
        <f>IF(B74&lt;&gt;"",IF(AND(I74&gt;0,R74&gt;0),(K74+J74-I74)*VLOOKUP(M74,Segédlet!$I$5:$J$12,2,0),(K74+J74)*VLOOKUP(M74,Segédlet!$I$5:$J$12,2,0)),"")</f>
        <v/>
      </c>
      <c r="O74" s="6" t="str">
        <f>IF(B74&lt;&gt;"",IF(G74&lt;=14,G74*J74*VLOOKUP(C74,Segédlet!$C$5:$G$37,4,0),J74*14*VLOOKUP(C74,Segédlet!$C$5:$G$37,4,0)+(G74-14)*J74*VLOOKUP(C74,Segédlet!$C$5:$G$37,5,0)),"")</f>
        <v/>
      </c>
      <c r="P74" s="6" t="str">
        <f>IF(B74&lt;&gt;"",IF(G74&lt;=14,G74*K74*VLOOKUP(C74,Segédlet!$C$5:$G$37,4,0),K74*14*VLOOKUP(C74,Segédlet!$C$5:$G$37,4,0)+(G74-14)*K74*VLOOKUP(C74,Segédlet!$C$5:$G$37,5,0)),"")</f>
        <v/>
      </c>
      <c r="Q74" s="12" t="str">
        <f t="shared" si="16"/>
        <v/>
      </c>
      <c r="R74" s="12" t="str">
        <f t="shared" si="17"/>
        <v/>
      </c>
      <c r="S74" s="22" t="str">
        <f t="shared" si="13"/>
        <v/>
      </c>
    </row>
    <row r="75" spans="1:19" x14ac:dyDescent="0.2">
      <c r="A75" s="57" t="str">
        <f t="shared" si="18"/>
        <v xml:space="preserve"> </v>
      </c>
      <c r="B75" s="10"/>
      <c r="C75" s="18"/>
      <c r="D75" s="21" t="str">
        <f>IF(C75&lt;&gt;"",INDEX(Segédlet!$B$5:$B$37,MATCH(C75,Segédlet!$C$5:$C$37,0)),"")</f>
        <v/>
      </c>
      <c r="E75" s="19"/>
      <c r="F75" s="8"/>
      <c r="G75" s="5" t="str">
        <f t="shared" si="10"/>
        <v/>
      </c>
      <c r="H75" s="8" t="str">
        <f t="shared" si="11"/>
        <v/>
      </c>
      <c r="I75" s="8" t="str">
        <f t="shared" si="12"/>
        <v/>
      </c>
      <c r="J75" s="8" t="str">
        <f t="shared" si="14"/>
        <v/>
      </c>
      <c r="K75" s="11"/>
      <c r="L75" s="11" t="str">
        <f t="shared" si="15"/>
        <v/>
      </c>
      <c r="M75" s="20"/>
      <c r="N75" s="6" t="str">
        <f>IF(B75&lt;&gt;"",IF(AND(I75&gt;0,R75&gt;0),(K75+J75-I75)*VLOOKUP(M75,Segédlet!$I$5:$J$12,2,0),(K75+J75)*VLOOKUP(M75,Segédlet!$I$5:$J$12,2,0)),"")</f>
        <v/>
      </c>
      <c r="O75" s="6" t="str">
        <f>IF(B75&lt;&gt;"",IF(G75&lt;=14,G75*J75*VLOOKUP(C75,Segédlet!$C$5:$G$37,4,0),J75*14*VLOOKUP(C75,Segédlet!$C$5:$G$37,4,0)+(G75-14)*J75*VLOOKUP(C75,Segédlet!$C$5:$G$37,5,0)),"")</f>
        <v/>
      </c>
      <c r="P75" s="6" t="str">
        <f>IF(B75&lt;&gt;"",IF(G75&lt;=14,G75*K75*VLOOKUP(C75,Segédlet!$C$5:$G$37,4,0),K75*14*VLOOKUP(C75,Segédlet!$C$5:$G$37,4,0)+(G75-14)*K75*VLOOKUP(C75,Segédlet!$C$5:$G$37,5,0)),"")</f>
        <v/>
      </c>
      <c r="Q75" s="12" t="str">
        <f t="shared" si="16"/>
        <v/>
      </c>
      <c r="R75" s="12" t="str">
        <f t="shared" si="17"/>
        <v/>
      </c>
      <c r="S75" s="22" t="str">
        <f t="shared" si="13"/>
        <v/>
      </c>
    </row>
    <row r="76" spans="1:19" x14ac:dyDescent="0.2">
      <c r="A76" s="57" t="str">
        <f t="shared" si="18"/>
        <v xml:space="preserve"> </v>
      </c>
      <c r="B76" s="10"/>
      <c r="C76" s="18"/>
      <c r="D76" s="21" t="str">
        <f>IF(C76&lt;&gt;"",INDEX(Segédlet!$B$5:$B$37,MATCH(C76,Segédlet!$C$5:$C$37,0)),"")</f>
        <v/>
      </c>
      <c r="E76" s="19"/>
      <c r="F76" s="8"/>
      <c r="G76" s="5" t="str">
        <f t="shared" si="10"/>
        <v/>
      </c>
      <c r="H76" s="8" t="str">
        <f t="shared" si="11"/>
        <v/>
      </c>
      <c r="I76" s="8" t="str">
        <f t="shared" si="12"/>
        <v/>
      </c>
      <c r="J76" s="8" t="str">
        <f t="shared" si="14"/>
        <v/>
      </c>
      <c r="K76" s="11"/>
      <c r="L76" s="11" t="str">
        <f t="shared" si="15"/>
        <v/>
      </c>
      <c r="M76" s="20"/>
      <c r="N76" s="6" t="str">
        <f>IF(B76&lt;&gt;"",IF(AND(I76&gt;0,R76&gt;0),(K76+J76-I76)*VLOOKUP(M76,Segédlet!$I$5:$J$12,2,0),(K76+J76)*VLOOKUP(M76,Segédlet!$I$5:$J$12,2,0)),"")</f>
        <v/>
      </c>
      <c r="O76" s="6" t="str">
        <f>IF(B76&lt;&gt;"",IF(G76&lt;=14,G76*J76*VLOOKUP(C76,Segédlet!$C$5:$G$37,4,0),J76*14*VLOOKUP(C76,Segédlet!$C$5:$G$37,4,0)+(G76-14)*J76*VLOOKUP(C76,Segédlet!$C$5:$G$37,5,0)),"")</f>
        <v/>
      </c>
      <c r="P76" s="6" t="str">
        <f>IF(B76&lt;&gt;"",IF(G76&lt;=14,G76*K76*VLOOKUP(C76,Segédlet!$C$5:$G$37,4,0),K76*14*VLOOKUP(C76,Segédlet!$C$5:$G$37,4,0)+(G76-14)*K76*VLOOKUP(C76,Segédlet!$C$5:$G$37,5,0)),"")</f>
        <v/>
      </c>
      <c r="Q76" s="12" t="str">
        <f t="shared" si="16"/>
        <v/>
      </c>
      <c r="R76" s="12" t="str">
        <f t="shared" si="17"/>
        <v/>
      </c>
      <c r="S76" s="22" t="str">
        <f t="shared" si="13"/>
        <v/>
      </c>
    </row>
    <row r="77" spans="1:19" x14ac:dyDescent="0.2">
      <c r="A77" s="57" t="str">
        <f t="shared" si="18"/>
        <v xml:space="preserve"> </v>
      </c>
      <c r="B77" s="10"/>
      <c r="C77" s="18"/>
      <c r="D77" s="21" t="str">
        <f>IF(C77&lt;&gt;"",INDEX(Segédlet!$B$5:$B$37,MATCH(C77,Segédlet!$C$5:$C$37,0)),"")</f>
        <v/>
      </c>
      <c r="E77" s="19"/>
      <c r="F77" s="8"/>
      <c r="G77" s="5" t="str">
        <f t="shared" si="10"/>
        <v/>
      </c>
      <c r="H77" s="8" t="str">
        <f t="shared" si="11"/>
        <v/>
      </c>
      <c r="I77" s="8" t="str">
        <f t="shared" si="12"/>
        <v/>
      </c>
      <c r="J77" s="8" t="str">
        <f t="shared" si="14"/>
        <v/>
      </c>
      <c r="K77" s="11"/>
      <c r="L77" s="11" t="str">
        <f t="shared" si="15"/>
        <v/>
      </c>
      <c r="M77" s="20"/>
      <c r="N77" s="6" t="str">
        <f>IF(B77&lt;&gt;"",IF(AND(I77&gt;0,R77&gt;0),(K77+J77-I77)*VLOOKUP(M77,Segédlet!$I$5:$J$12,2,0),(K77+J77)*VLOOKUP(M77,Segédlet!$I$5:$J$12,2,0)),"")</f>
        <v/>
      </c>
      <c r="O77" s="6" t="str">
        <f>IF(B77&lt;&gt;"",IF(G77&lt;=14,G77*J77*VLOOKUP(C77,Segédlet!$C$5:$G$37,4,0),J77*14*VLOOKUP(C77,Segédlet!$C$5:$G$37,4,0)+(G77-14)*J77*VLOOKUP(C77,Segédlet!$C$5:$G$37,5,0)),"")</f>
        <v/>
      </c>
      <c r="P77" s="6" t="str">
        <f>IF(B77&lt;&gt;"",IF(G77&lt;=14,G77*K77*VLOOKUP(C77,Segédlet!$C$5:$G$37,4,0),K77*14*VLOOKUP(C77,Segédlet!$C$5:$G$37,4,0)+(G77-14)*K77*VLOOKUP(C77,Segédlet!$C$5:$G$37,5,0)),"")</f>
        <v/>
      </c>
      <c r="Q77" s="12" t="str">
        <f t="shared" si="16"/>
        <v/>
      </c>
      <c r="R77" s="12" t="str">
        <f t="shared" si="17"/>
        <v/>
      </c>
      <c r="S77" s="22" t="str">
        <f t="shared" si="13"/>
        <v/>
      </c>
    </row>
    <row r="78" spans="1:19" x14ac:dyDescent="0.2">
      <c r="A78" s="57" t="str">
        <f t="shared" si="18"/>
        <v xml:space="preserve"> </v>
      </c>
      <c r="B78" s="10"/>
      <c r="C78" s="18"/>
      <c r="D78" s="21" t="str">
        <f>IF(C78&lt;&gt;"",INDEX(Segédlet!$B$5:$B$37,MATCH(C78,Segédlet!$C$5:$C$37,0)),"")</f>
        <v/>
      </c>
      <c r="E78" s="19"/>
      <c r="F78" s="8"/>
      <c r="G78" s="5" t="str">
        <f t="shared" si="10"/>
        <v/>
      </c>
      <c r="H78" s="8" t="str">
        <f t="shared" si="11"/>
        <v/>
      </c>
      <c r="I78" s="8" t="str">
        <f t="shared" si="12"/>
        <v/>
      </c>
      <c r="J78" s="8" t="str">
        <f t="shared" si="14"/>
        <v/>
      </c>
      <c r="K78" s="11"/>
      <c r="L78" s="11" t="str">
        <f t="shared" si="15"/>
        <v/>
      </c>
      <c r="M78" s="20"/>
      <c r="N78" s="6" t="str">
        <f>IF(B78&lt;&gt;"",IF(AND(I78&gt;0,R78&gt;0),(K78+J78-I78)*VLOOKUP(M78,Segédlet!$I$5:$J$12,2,0),(K78+J78)*VLOOKUP(M78,Segédlet!$I$5:$J$12,2,0)),"")</f>
        <v/>
      </c>
      <c r="O78" s="6" t="str">
        <f>IF(B78&lt;&gt;"",IF(G78&lt;=14,G78*J78*VLOOKUP(C78,Segédlet!$C$5:$G$37,4,0),J78*14*VLOOKUP(C78,Segédlet!$C$5:$G$37,4,0)+(G78-14)*J78*VLOOKUP(C78,Segédlet!$C$5:$G$37,5,0)),"")</f>
        <v/>
      </c>
      <c r="P78" s="6" t="str">
        <f>IF(B78&lt;&gt;"",IF(G78&lt;=14,G78*K78*VLOOKUP(C78,Segédlet!$C$5:$G$37,4,0),K78*14*VLOOKUP(C78,Segédlet!$C$5:$G$37,4,0)+(G78-14)*K78*VLOOKUP(C78,Segédlet!$C$5:$G$37,5,0)),"")</f>
        <v/>
      </c>
      <c r="Q78" s="12" t="str">
        <f t="shared" si="16"/>
        <v/>
      </c>
      <c r="R78" s="12" t="str">
        <f t="shared" si="17"/>
        <v/>
      </c>
      <c r="S78" s="22" t="str">
        <f t="shared" si="13"/>
        <v/>
      </c>
    </row>
    <row r="79" spans="1:19" x14ac:dyDescent="0.2">
      <c r="A79" s="57" t="str">
        <f t="shared" si="18"/>
        <v xml:space="preserve"> </v>
      </c>
      <c r="B79" s="10"/>
      <c r="C79" s="18"/>
      <c r="D79" s="21" t="str">
        <f>IF(C79&lt;&gt;"",INDEX(Segédlet!$B$5:$B$37,MATCH(C79,Segédlet!$C$5:$C$37,0)),"")</f>
        <v/>
      </c>
      <c r="E79" s="19"/>
      <c r="F79" s="8"/>
      <c r="G79" s="5" t="str">
        <f t="shared" si="10"/>
        <v/>
      </c>
      <c r="H79" s="8" t="str">
        <f t="shared" si="11"/>
        <v/>
      </c>
      <c r="I79" s="8" t="str">
        <f t="shared" si="12"/>
        <v/>
      </c>
      <c r="J79" s="8" t="str">
        <f t="shared" si="14"/>
        <v/>
      </c>
      <c r="K79" s="11"/>
      <c r="L79" s="11" t="str">
        <f t="shared" si="15"/>
        <v/>
      </c>
      <c r="M79" s="20"/>
      <c r="N79" s="6" t="str">
        <f>IF(B79&lt;&gt;"",IF(AND(I79&gt;0,R79&gt;0),(K79+J79-I79)*VLOOKUP(M79,Segédlet!$I$5:$J$12,2,0),(K79+J79)*VLOOKUP(M79,Segédlet!$I$5:$J$12,2,0)),"")</f>
        <v/>
      </c>
      <c r="O79" s="6" t="str">
        <f>IF(B79&lt;&gt;"",IF(G79&lt;=14,G79*J79*VLOOKUP(C79,Segédlet!$C$5:$G$37,4,0),J79*14*VLOOKUP(C79,Segédlet!$C$5:$G$37,4,0)+(G79-14)*J79*VLOOKUP(C79,Segédlet!$C$5:$G$37,5,0)),"")</f>
        <v/>
      </c>
      <c r="P79" s="6" t="str">
        <f>IF(B79&lt;&gt;"",IF(G79&lt;=14,G79*K79*VLOOKUP(C79,Segédlet!$C$5:$G$37,4,0),K79*14*VLOOKUP(C79,Segédlet!$C$5:$G$37,4,0)+(G79-14)*K79*VLOOKUP(C79,Segédlet!$C$5:$G$37,5,0)),"")</f>
        <v/>
      </c>
      <c r="Q79" s="12" t="str">
        <f t="shared" si="16"/>
        <v/>
      </c>
      <c r="R79" s="12" t="str">
        <f t="shared" si="17"/>
        <v/>
      </c>
      <c r="S79" s="22" t="str">
        <f t="shared" si="13"/>
        <v/>
      </c>
    </row>
    <row r="80" spans="1:19" x14ac:dyDescent="0.2">
      <c r="A80" s="57" t="str">
        <f t="shared" si="18"/>
        <v xml:space="preserve"> </v>
      </c>
      <c r="B80" s="10"/>
      <c r="C80" s="18"/>
      <c r="D80" s="21" t="str">
        <f>IF(C80&lt;&gt;"",INDEX(Segédlet!$B$5:$B$37,MATCH(C80,Segédlet!$C$5:$C$37,0)),"")</f>
        <v/>
      </c>
      <c r="E80" s="19"/>
      <c r="F80" s="8"/>
      <c r="G80" s="5" t="str">
        <f t="shared" si="10"/>
        <v/>
      </c>
      <c r="H80" s="8" t="str">
        <f t="shared" si="11"/>
        <v/>
      </c>
      <c r="I80" s="8" t="str">
        <f t="shared" si="12"/>
        <v/>
      </c>
      <c r="J80" s="8" t="str">
        <f t="shared" si="14"/>
        <v/>
      </c>
      <c r="K80" s="11"/>
      <c r="L80" s="11" t="str">
        <f t="shared" si="15"/>
        <v/>
      </c>
      <c r="M80" s="20"/>
      <c r="N80" s="6" t="str">
        <f>IF(B80&lt;&gt;"",IF(AND(I80&gt;0,R80&gt;0),(K80+J80-I80)*VLOOKUP(M80,Segédlet!$I$5:$J$12,2,0),(K80+J80)*VLOOKUP(M80,Segédlet!$I$5:$J$12,2,0)),"")</f>
        <v/>
      </c>
      <c r="O80" s="6" t="str">
        <f>IF(B80&lt;&gt;"",IF(G80&lt;=14,G80*J80*VLOOKUP(C80,Segédlet!$C$5:$G$37,4,0),J80*14*VLOOKUP(C80,Segédlet!$C$5:$G$37,4,0)+(G80-14)*J80*VLOOKUP(C80,Segédlet!$C$5:$G$37,5,0)),"")</f>
        <v/>
      </c>
      <c r="P80" s="6" t="str">
        <f>IF(B80&lt;&gt;"",IF(G80&lt;=14,G80*K80*VLOOKUP(C80,Segédlet!$C$5:$G$37,4,0),K80*14*VLOOKUP(C80,Segédlet!$C$5:$G$37,4,0)+(G80-14)*K80*VLOOKUP(C80,Segédlet!$C$5:$G$37,5,0)),"")</f>
        <v/>
      </c>
      <c r="Q80" s="12" t="str">
        <f t="shared" si="16"/>
        <v/>
      </c>
      <c r="R80" s="12" t="str">
        <f t="shared" si="17"/>
        <v/>
      </c>
      <c r="S80" s="22" t="str">
        <f t="shared" si="13"/>
        <v/>
      </c>
    </row>
    <row r="81" spans="1:19" x14ac:dyDescent="0.2">
      <c r="A81" s="57" t="str">
        <f t="shared" si="18"/>
        <v xml:space="preserve"> </v>
      </c>
      <c r="B81" s="10"/>
      <c r="C81" s="18"/>
      <c r="D81" s="21" t="str">
        <f>IF(C81&lt;&gt;"",INDEX(Segédlet!$B$5:$B$37,MATCH(C81,Segédlet!$C$5:$C$37,0)),"")</f>
        <v/>
      </c>
      <c r="E81" s="19"/>
      <c r="F81" s="8"/>
      <c r="G81" s="5" t="str">
        <f t="shared" si="10"/>
        <v/>
      </c>
      <c r="H81" s="8" t="str">
        <f t="shared" si="11"/>
        <v/>
      </c>
      <c r="I81" s="8" t="str">
        <f t="shared" si="12"/>
        <v/>
      </c>
      <c r="J81" s="8" t="str">
        <f t="shared" si="14"/>
        <v/>
      </c>
      <c r="K81" s="11"/>
      <c r="L81" s="11" t="str">
        <f t="shared" si="15"/>
        <v/>
      </c>
      <c r="M81" s="20"/>
      <c r="N81" s="6" t="str">
        <f>IF(B81&lt;&gt;"",IF(AND(I81&gt;0,R81&gt;0),(K81+J81-I81)*VLOOKUP(M81,Segédlet!$I$5:$J$12,2,0),(K81+J81)*VLOOKUP(M81,Segédlet!$I$5:$J$12,2,0)),"")</f>
        <v/>
      </c>
      <c r="O81" s="6" t="str">
        <f>IF(B81&lt;&gt;"",IF(G81&lt;=14,G81*J81*VLOOKUP(C81,Segédlet!$C$5:$G$37,4,0),J81*14*VLOOKUP(C81,Segédlet!$C$5:$G$37,4,0)+(G81-14)*J81*VLOOKUP(C81,Segédlet!$C$5:$G$37,5,0)),"")</f>
        <v/>
      </c>
      <c r="P81" s="6" t="str">
        <f>IF(B81&lt;&gt;"",IF(G81&lt;=14,G81*K81*VLOOKUP(C81,Segédlet!$C$5:$G$37,4,0),K81*14*VLOOKUP(C81,Segédlet!$C$5:$G$37,4,0)+(G81-14)*K81*VLOOKUP(C81,Segédlet!$C$5:$G$37,5,0)),"")</f>
        <v/>
      </c>
      <c r="Q81" s="12" t="str">
        <f t="shared" si="16"/>
        <v/>
      </c>
      <c r="R81" s="12" t="str">
        <f t="shared" si="17"/>
        <v/>
      </c>
      <c r="S81" s="22" t="str">
        <f t="shared" si="13"/>
        <v/>
      </c>
    </row>
    <row r="82" spans="1:19" x14ac:dyDescent="0.2">
      <c r="A82" s="57" t="str">
        <f t="shared" si="18"/>
        <v xml:space="preserve"> </v>
      </c>
      <c r="B82" s="10"/>
      <c r="C82" s="18"/>
      <c r="D82" s="21" t="str">
        <f>IF(C82&lt;&gt;"",INDEX(Segédlet!$B$5:$B$37,MATCH(C82,Segédlet!$C$5:$C$37,0)),"")</f>
        <v/>
      </c>
      <c r="E82" s="19"/>
      <c r="F82" s="8"/>
      <c r="G82" s="5" t="str">
        <f t="shared" si="10"/>
        <v/>
      </c>
      <c r="H82" s="8" t="str">
        <f t="shared" si="11"/>
        <v/>
      </c>
      <c r="I82" s="8" t="str">
        <f t="shared" si="12"/>
        <v/>
      </c>
      <c r="J82" s="8" t="str">
        <f t="shared" si="14"/>
        <v/>
      </c>
      <c r="K82" s="11"/>
      <c r="L82" s="11" t="str">
        <f t="shared" si="15"/>
        <v/>
      </c>
      <c r="M82" s="20"/>
      <c r="N82" s="6" t="str">
        <f>IF(B82&lt;&gt;"",IF(AND(I82&gt;0,R82&gt;0),(K82+J82-I82)*VLOOKUP(M82,Segédlet!$I$5:$J$12,2,0),(K82+J82)*VLOOKUP(M82,Segédlet!$I$5:$J$12,2,0)),"")</f>
        <v/>
      </c>
      <c r="O82" s="6" t="str">
        <f>IF(B82&lt;&gt;"",IF(G82&lt;=14,G82*J82*VLOOKUP(C82,Segédlet!$C$5:$G$37,4,0),J82*14*VLOOKUP(C82,Segédlet!$C$5:$G$37,4,0)+(G82-14)*J82*VLOOKUP(C82,Segédlet!$C$5:$G$37,5,0)),"")</f>
        <v/>
      </c>
      <c r="P82" s="6" t="str">
        <f>IF(B82&lt;&gt;"",IF(G82&lt;=14,G82*K82*VLOOKUP(C82,Segédlet!$C$5:$G$37,4,0),K82*14*VLOOKUP(C82,Segédlet!$C$5:$G$37,4,0)+(G82-14)*K82*VLOOKUP(C82,Segédlet!$C$5:$G$37,5,0)),"")</f>
        <v/>
      </c>
      <c r="Q82" s="12" t="str">
        <f t="shared" si="16"/>
        <v/>
      </c>
      <c r="R82" s="12" t="str">
        <f t="shared" si="17"/>
        <v/>
      </c>
      <c r="S82" s="22" t="str">
        <f t="shared" si="13"/>
        <v/>
      </c>
    </row>
    <row r="83" spans="1:19" x14ac:dyDescent="0.2">
      <c r="A83" s="57" t="str">
        <f t="shared" si="18"/>
        <v xml:space="preserve"> </v>
      </c>
      <c r="B83" s="10"/>
      <c r="C83" s="18"/>
      <c r="D83" s="21" t="str">
        <f>IF(C83&lt;&gt;"",INDEX(Segédlet!$B$5:$B$37,MATCH(C83,Segédlet!$C$5:$C$37,0)),"")</f>
        <v/>
      </c>
      <c r="E83" s="19"/>
      <c r="F83" s="8"/>
      <c r="G83" s="5" t="str">
        <f t="shared" si="10"/>
        <v/>
      </c>
      <c r="H83" s="8" t="str">
        <f t="shared" si="11"/>
        <v/>
      </c>
      <c r="I83" s="8" t="str">
        <f t="shared" si="12"/>
        <v/>
      </c>
      <c r="J83" s="8" t="str">
        <f t="shared" si="14"/>
        <v/>
      </c>
      <c r="K83" s="11"/>
      <c r="L83" s="11" t="str">
        <f t="shared" si="15"/>
        <v/>
      </c>
      <c r="M83" s="20"/>
      <c r="N83" s="6" t="str">
        <f>IF(B83&lt;&gt;"",IF(AND(I83&gt;0,R83&gt;0),(K83+J83-I83)*VLOOKUP(M83,Segédlet!$I$5:$J$12,2,0),(K83+J83)*VLOOKUP(M83,Segédlet!$I$5:$J$12,2,0)),"")</f>
        <v/>
      </c>
      <c r="O83" s="6" t="str">
        <f>IF(B83&lt;&gt;"",IF(G83&lt;=14,G83*J83*VLOOKUP(C83,Segédlet!$C$5:$G$37,4,0),J83*14*VLOOKUP(C83,Segédlet!$C$5:$G$37,4,0)+(G83-14)*J83*VLOOKUP(C83,Segédlet!$C$5:$G$37,5,0)),"")</f>
        <v/>
      </c>
      <c r="P83" s="6" t="str">
        <f>IF(B83&lt;&gt;"",IF(G83&lt;=14,G83*K83*VLOOKUP(C83,Segédlet!$C$5:$G$37,4,0),K83*14*VLOOKUP(C83,Segédlet!$C$5:$G$37,4,0)+(G83-14)*K83*VLOOKUP(C83,Segédlet!$C$5:$G$37,5,0)),"")</f>
        <v/>
      </c>
      <c r="Q83" s="12" t="str">
        <f t="shared" si="16"/>
        <v/>
      </c>
      <c r="R83" s="12" t="str">
        <f t="shared" si="17"/>
        <v/>
      </c>
      <c r="S83" s="22" t="str">
        <f t="shared" si="13"/>
        <v/>
      </c>
    </row>
    <row r="84" spans="1:19" x14ac:dyDescent="0.2">
      <c r="A84" s="57" t="str">
        <f t="shared" si="18"/>
        <v xml:space="preserve"> </v>
      </c>
      <c r="B84" s="10"/>
      <c r="C84" s="18"/>
      <c r="D84" s="21" t="str">
        <f>IF(C84&lt;&gt;"",INDEX(Segédlet!$B$5:$B$37,MATCH(C84,Segédlet!$C$5:$C$37,0)),"")</f>
        <v/>
      </c>
      <c r="E84" s="19"/>
      <c r="F84" s="8"/>
      <c r="G84" s="5" t="str">
        <f t="shared" si="10"/>
        <v/>
      </c>
      <c r="H84" s="8" t="str">
        <f t="shared" si="11"/>
        <v/>
      </c>
      <c r="I84" s="8" t="str">
        <f t="shared" si="12"/>
        <v/>
      </c>
      <c r="J84" s="8" t="str">
        <f t="shared" si="14"/>
        <v/>
      </c>
      <c r="K84" s="11"/>
      <c r="L84" s="11" t="str">
        <f t="shared" si="15"/>
        <v/>
      </c>
      <c r="M84" s="20"/>
      <c r="N84" s="6" t="str">
        <f>IF(B84&lt;&gt;"",IF(AND(I84&gt;0,R84&gt;0),(K84+J84-I84)*VLOOKUP(M84,Segédlet!$I$5:$J$12,2,0),(K84+J84)*VLOOKUP(M84,Segédlet!$I$5:$J$12,2,0)),"")</f>
        <v/>
      </c>
      <c r="O84" s="6" t="str">
        <f>IF(B84&lt;&gt;"",IF(G84&lt;=14,G84*J84*VLOOKUP(C84,Segédlet!$C$5:$G$37,4,0),J84*14*VLOOKUP(C84,Segédlet!$C$5:$G$37,4,0)+(G84-14)*J84*VLOOKUP(C84,Segédlet!$C$5:$G$37,5,0)),"")</f>
        <v/>
      </c>
      <c r="P84" s="6" t="str">
        <f>IF(B84&lt;&gt;"",IF(G84&lt;=14,G84*K84*VLOOKUP(C84,Segédlet!$C$5:$G$37,4,0),K84*14*VLOOKUP(C84,Segédlet!$C$5:$G$37,4,0)+(G84-14)*K84*VLOOKUP(C84,Segédlet!$C$5:$G$37,5,0)),"")</f>
        <v/>
      </c>
      <c r="Q84" s="12" t="str">
        <f t="shared" si="16"/>
        <v/>
      </c>
      <c r="R84" s="12" t="str">
        <f t="shared" si="17"/>
        <v/>
      </c>
      <c r="S84" s="22" t="str">
        <f t="shared" si="13"/>
        <v/>
      </c>
    </row>
    <row r="85" spans="1:19" x14ac:dyDescent="0.2">
      <c r="A85" s="57" t="str">
        <f t="shared" si="18"/>
        <v xml:space="preserve"> </v>
      </c>
      <c r="B85" s="10"/>
      <c r="C85" s="18"/>
      <c r="D85" s="21" t="str">
        <f>IF(C85&lt;&gt;"",INDEX(Segédlet!$B$5:$B$37,MATCH(C85,Segédlet!$C$5:$C$37,0)),"")</f>
        <v/>
      </c>
      <c r="E85" s="19"/>
      <c r="F85" s="8"/>
      <c r="G85" s="5" t="str">
        <f t="shared" si="10"/>
        <v/>
      </c>
      <c r="H85" s="8" t="str">
        <f t="shared" si="11"/>
        <v/>
      </c>
      <c r="I85" s="8" t="str">
        <f t="shared" si="12"/>
        <v/>
      </c>
      <c r="J85" s="8" t="str">
        <f t="shared" si="14"/>
        <v/>
      </c>
      <c r="K85" s="11"/>
      <c r="L85" s="11" t="str">
        <f t="shared" si="15"/>
        <v/>
      </c>
      <c r="M85" s="20"/>
      <c r="N85" s="6" t="str">
        <f>IF(B85&lt;&gt;"",IF(AND(I85&gt;0,R85&gt;0),(K85+J85-I85)*VLOOKUP(M85,Segédlet!$I$5:$J$12,2,0),(K85+J85)*VLOOKUP(M85,Segédlet!$I$5:$J$12,2,0)),"")</f>
        <v/>
      </c>
      <c r="O85" s="6" t="str">
        <f>IF(B85&lt;&gt;"",IF(G85&lt;=14,G85*J85*VLOOKUP(C85,Segédlet!$C$5:$G$37,4,0),J85*14*VLOOKUP(C85,Segédlet!$C$5:$G$37,4,0)+(G85-14)*J85*VLOOKUP(C85,Segédlet!$C$5:$G$37,5,0)),"")</f>
        <v/>
      </c>
      <c r="P85" s="6" t="str">
        <f>IF(B85&lt;&gt;"",IF(G85&lt;=14,G85*K85*VLOOKUP(C85,Segédlet!$C$5:$G$37,4,0),K85*14*VLOOKUP(C85,Segédlet!$C$5:$G$37,4,0)+(G85-14)*K85*VLOOKUP(C85,Segédlet!$C$5:$G$37,5,0)),"")</f>
        <v/>
      </c>
      <c r="Q85" s="12" t="str">
        <f t="shared" si="16"/>
        <v/>
      </c>
      <c r="R85" s="12" t="str">
        <f t="shared" si="17"/>
        <v/>
      </c>
      <c r="S85" s="22" t="str">
        <f t="shared" si="13"/>
        <v/>
      </c>
    </row>
    <row r="86" spans="1:19" x14ac:dyDescent="0.2">
      <c r="A86" s="57" t="str">
        <f t="shared" si="18"/>
        <v xml:space="preserve"> </v>
      </c>
      <c r="B86" s="10"/>
      <c r="C86" s="18"/>
      <c r="D86" s="21" t="str">
        <f>IF(C86&lt;&gt;"",INDEX(Segédlet!$B$5:$B$37,MATCH(C86,Segédlet!$C$5:$C$37,0)),"")</f>
        <v/>
      </c>
      <c r="E86" s="19"/>
      <c r="F86" s="8"/>
      <c r="G86" s="5" t="str">
        <f t="shared" si="10"/>
        <v/>
      </c>
      <c r="H86" s="8" t="str">
        <f t="shared" si="11"/>
        <v/>
      </c>
      <c r="I86" s="8" t="str">
        <f t="shared" si="12"/>
        <v/>
      </c>
      <c r="J86" s="8" t="str">
        <f t="shared" si="14"/>
        <v/>
      </c>
      <c r="K86" s="11"/>
      <c r="L86" s="11" t="str">
        <f t="shared" si="15"/>
        <v/>
      </c>
      <c r="M86" s="20"/>
      <c r="N86" s="6" t="str">
        <f>IF(B86&lt;&gt;"",IF(AND(I86&gt;0,R86&gt;0),(K86+J86-I86)*VLOOKUP(M86,Segédlet!$I$5:$J$12,2,0),(K86+J86)*VLOOKUP(M86,Segédlet!$I$5:$J$12,2,0)),"")</f>
        <v/>
      </c>
      <c r="O86" s="6" t="str">
        <f>IF(B86&lt;&gt;"",IF(G86&lt;=14,G86*J86*VLOOKUP(C86,Segédlet!$C$5:$G$37,4,0),J86*14*VLOOKUP(C86,Segédlet!$C$5:$G$37,4,0)+(G86-14)*J86*VLOOKUP(C86,Segédlet!$C$5:$G$37,5,0)),"")</f>
        <v/>
      </c>
      <c r="P86" s="6" t="str">
        <f>IF(B86&lt;&gt;"",IF(G86&lt;=14,G86*K86*VLOOKUP(C86,Segédlet!$C$5:$G$37,4,0),K86*14*VLOOKUP(C86,Segédlet!$C$5:$G$37,4,0)+(G86-14)*K86*VLOOKUP(C86,Segédlet!$C$5:$G$37,5,0)),"")</f>
        <v/>
      </c>
      <c r="Q86" s="12" t="str">
        <f t="shared" si="16"/>
        <v/>
      </c>
      <c r="R86" s="12" t="str">
        <f t="shared" si="17"/>
        <v/>
      </c>
      <c r="S86" s="22" t="str">
        <f t="shared" si="13"/>
        <v/>
      </c>
    </row>
    <row r="87" spans="1:19" x14ac:dyDescent="0.2">
      <c r="A87" s="57" t="str">
        <f t="shared" si="18"/>
        <v xml:space="preserve"> </v>
      </c>
      <c r="B87" s="10"/>
      <c r="C87" s="18"/>
      <c r="D87" s="21" t="str">
        <f>IF(C87&lt;&gt;"",INDEX(Segédlet!$B$5:$B$37,MATCH(C87,Segédlet!$C$5:$C$37,0)),"")</f>
        <v/>
      </c>
      <c r="E87" s="19"/>
      <c r="F87" s="8"/>
      <c r="G87" s="5" t="str">
        <f t="shared" si="10"/>
        <v/>
      </c>
      <c r="H87" s="8" t="str">
        <f t="shared" si="11"/>
        <v/>
      </c>
      <c r="I87" s="8" t="str">
        <f t="shared" si="12"/>
        <v/>
      </c>
      <c r="J87" s="8" t="str">
        <f t="shared" si="14"/>
        <v/>
      </c>
      <c r="K87" s="11"/>
      <c r="L87" s="11" t="str">
        <f t="shared" si="15"/>
        <v/>
      </c>
      <c r="M87" s="20"/>
      <c r="N87" s="6" t="str">
        <f>IF(B87&lt;&gt;"",IF(AND(I87&gt;0,R87&gt;0),(K87+J87-I87)*VLOOKUP(M87,Segédlet!$I$5:$J$12,2,0),(K87+J87)*VLOOKUP(M87,Segédlet!$I$5:$J$12,2,0)),"")</f>
        <v/>
      </c>
      <c r="O87" s="6" t="str">
        <f>IF(B87&lt;&gt;"",IF(G87&lt;=14,G87*J87*VLOOKUP(C87,Segédlet!$C$5:$G$37,4,0),J87*14*VLOOKUP(C87,Segédlet!$C$5:$G$37,4,0)+(G87-14)*J87*VLOOKUP(C87,Segédlet!$C$5:$G$37,5,0)),"")</f>
        <v/>
      </c>
      <c r="P87" s="6" t="str">
        <f>IF(B87&lt;&gt;"",IF(G87&lt;=14,G87*K87*VLOOKUP(C87,Segédlet!$C$5:$G$37,4,0),K87*14*VLOOKUP(C87,Segédlet!$C$5:$G$37,4,0)+(G87-14)*K87*VLOOKUP(C87,Segédlet!$C$5:$G$37,5,0)),"")</f>
        <v/>
      </c>
      <c r="Q87" s="12" t="str">
        <f t="shared" si="16"/>
        <v/>
      </c>
      <c r="R87" s="12" t="str">
        <f t="shared" si="17"/>
        <v/>
      </c>
      <c r="S87" s="22" t="str">
        <f t="shared" si="13"/>
        <v/>
      </c>
    </row>
    <row r="88" spans="1:19" x14ac:dyDescent="0.2">
      <c r="A88" s="57" t="str">
        <f t="shared" si="18"/>
        <v xml:space="preserve"> </v>
      </c>
      <c r="B88" s="10"/>
      <c r="C88" s="18"/>
      <c r="D88" s="21" t="str">
        <f>IF(C88&lt;&gt;"",INDEX(Segédlet!$B$5:$B$37,MATCH(C88,Segédlet!$C$5:$C$37,0)),"")</f>
        <v/>
      </c>
      <c r="E88" s="19"/>
      <c r="F88" s="8"/>
      <c r="G88" s="5" t="str">
        <f t="shared" si="10"/>
        <v/>
      </c>
      <c r="H88" s="8" t="str">
        <f t="shared" si="11"/>
        <v/>
      </c>
      <c r="I88" s="8" t="str">
        <f t="shared" si="12"/>
        <v/>
      </c>
      <c r="J88" s="8" t="str">
        <f t="shared" si="14"/>
        <v/>
      </c>
      <c r="K88" s="11"/>
      <c r="L88" s="11" t="str">
        <f t="shared" si="15"/>
        <v/>
      </c>
      <c r="M88" s="20"/>
      <c r="N88" s="6" t="str">
        <f>IF(B88&lt;&gt;"",IF(AND(I88&gt;0,R88&gt;0),(K88+J88-I88)*VLOOKUP(M88,Segédlet!$I$5:$J$12,2,0),(K88+J88)*VLOOKUP(M88,Segédlet!$I$5:$J$12,2,0)),"")</f>
        <v/>
      </c>
      <c r="O88" s="6" t="str">
        <f>IF(B88&lt;&gt;"",IF(G88&lt;=14,G88*J88*VLOOKUP(C88,Segédlet!$C$5:$G$37,4,0),J88*14*VLOOKUP(C88,Segédlet!$C$5:$G$37,4,0)+(G88-14)*J88*VLOOKUP(C88,Segédlet!$C$5:$G$37,5,0)),"")</f>
        <v/>
      </c>
      <c r="P88" s="6" t="str">
        <f>IF(B88&lt;&gt;"",IF(G88&lt;=14,G88*K88*VLOOKUP(C88,Segédlet!$C$5:$G$37,4,0),K88*14*VLOOKUP(C88,Segédlet!$C$5:$G$37,4,0)+(G88-14)*K88*VLOOKUP(C88,Segédlet!$C$5:$G$37,5,0)),"")</f>
        <v/>
      </c>
      <c r="Q88" s="12" t="str">
        <f t="shared" si="16"/>
        <v/>
      </c>
      <c r="R88" s="12" t="str">
        <f t="shared" si="17"/>
        <v/>
      </c>
      <c r="S88" s="22" t="str">
        <f t="shared" si="13"/>
        <v/>
      </c>
    </row>
    <row r="89" spans="1:19" x14ac:dyDescent="0.2">
      <c r="A89" s="57" t="str">
        <f t="shared" si="18"/>
        <v xml:space="preserve"> </v>
      </c>
      <c r="B89" s="10"/>
      <c r="C89" s="18"/>
      <c r="D89" s="21" t="str">
        <f>IF(C89&lt;&gt;"",INDEX(Segédlet!$B$5:$B$37,MATCH(C89,Segédlet!$C$5:$C$37,0)),"")</f>
        <v/>
      </c>
      <c r="E89" s="19"/>
      <c r="F89" s="8"/>
      <c r="G89" s="5" t="str">
        <f t="shared" si="10"/>
        <v/>
      </c>
      <c r="H89" s="8" t="str">
        <f t="shared" si="11"/>
        <v/>
      </c>
      <c r="I89" s="8" t="str">
        <f t="shared" si="12"/>
        <v/>
      </c>
      <c r="J89" s="8" t="str">
        <f t="shared" si="14"/>
        <v/>
      </c>
      <c r="K89" s="11"/>
      <c r="L89" s="11" t="str">
        <f t="shared" si="15"/>
        <v/>
      </c>
      <c r="M89" s="20"/>
      <c r="N89" s="6" t="str">
        <f>IF(B89&lt;&gt;"",IF(AND(I89&gt;0,R89&gt;0),(K89+J89-I89)*VLOOKUP(M89,Segédlet!$I$5:$J$12,2,0),(K89+J89)*VLOOKUP(M89,Segédlet!$I$5:$J$12,2,0)),"")</f>
        <v/>
      </c>
      <c r="O89" s="6" t="str">
        <f>IF(B89&lt;&gt;"",IF(G89&lt;=14,G89*J89*VLOOKUP(C89,Segédlet!$C$5:$G$37,4,0),J89*14*VLOOKUP(C89,Segédlet!$C$5:$G$37,4,0)+(G89-14)*J89*VLOOKUP(C89,Segédlet!$C$5:$G$37,5,0)),"")</f>
        <v/>
      </c>
      <c r="P89" s="6" t="str">
        <f>IF(B89&lt;&gt;"",IF(G89&lt;=14,G89*K89*VLOOKUP(C89,Segédlet!$C$5:$G$37,4,0),K89*14*VLOOKUP(C89,Segédlet!$C$5:$G$37,4,0)+(G89-14)*K89*VLOOKUP(C89,Segédlet!$C$5:$G$37,5,0)),"")</f>
        <v/>
      </c>
      <c r="Q89" s="12" t="str">
        <f t="shared" si="16"/>
        <v/>
      </c>
      <c r="R89" s="12" t="str">
        <f t="shared" si="17"/>
        <v/>
      </c>
      <c r="S89" s="22" t="str">
        <f t="shared" si="13"/>
        <v/>
      </c>
    </row>
    <row r="90" spans="1:19" x14ac:dyDescent="0.2">
      <c r="A90" s="57" t="str">
        <f t="shared" si="18"/>
        <v xml:space="preserve"> </v>
      </c>
      <c r="B90" s="10"/>
      <c r="C90" s="18"/>
      <c r="D90" s="21" t="str">
        <f>IF(C90&lt;&gt;"",INDEX(Segédlet!$B$5:$B$37,MATCH(C90,Segédlet!$C$5:$C$37,0)),"")</f>
        <v/>
      </c>
      <c r="E90" s="19"/>
      <c r="F90" s="8"/>
      <c r="G90" s="5" t="str">
        <f t="shared" si="10"/>
        <v/>
      </c>
      <c r="H90" s="8" t="str">
        <f t="shared" si="11"/>
        <v/>
      </c>
      <c r="I90" s="8" t="str">
        <f t="shared" si="12"/>
        <v/>
      </c>
      <c r="J90" s="8" t="str">
        <f t="shared" si="14"/>
        <v/>
      </c>
      <c r="K90" s="11"/>
      <c r="L90" s="11" t="str">
        <f t="shared" si="15"/>
        <v/>
      </c>
      <c r="M90" s="20"/>
      <c r="N90" s="6" t="str">
        <f>IF(B90&lt;&gt;"",IF(AND(I90&gt;0,R90&gt;0),(K90+J90-I90)*VLOOKUP(M90,Segédlet!$I$5:$J$12,2,0),(K90+J90)*VLOOKUP(M90,Segédlet!$I$5:$J$12,2,0)),"")</f>
        <v/>
      </c>
      <c r="O90" s="6" t="str">
        <f>IF(B90&lt;&gt;"",IF(G90&lt;=14,G90*J90*VLOOKUP(C90,Segédlet!$C$5:$G$37,4,0),J90*14*VLOOKUP(C90,Segédlet!$C$5:$G$37,4,0)+(G90-14)*J90*VLOOKUP(C90,Segédlet!$C$5:$G$37,5,0)),"")</f>
        <v/>
      </c>
      <c r="P90" s="6" t="str">
        <f>IF(B90&lt;&gt;"",IF(G90&lt;=14,G90*K90*VLOOKUP(C90,Segédlet!$C$5:$G$37,4,0),K90*14*VLOOKUP(C90,Segédlet!$C$5:$G$37,4,0)+(G90-14)*K90*VLOOKUP(C90,Segédlet!$C$5:$G$37,5,0)),"")</f>
        <v/>
      </c>
      <c r="Q90" s="12" t="str">
        <f t="shared" si="16"/>
        <v/>
      </c>
      <c r="R90" s="12" t="str">
        <f t="shared" si="17"/>
        <v/>
      </c>
      <c r="S90" s="22" t="str">
        <f t="shared" si="13"/>
        <v/>
      </c>
    </row>
    <row r="91" spans="1:19" x14ac:dyDescent="0.2">
      <c r="A91" s="57" t="str">
        <f t="shared" si="18"/>
        <v xml:space="preserve"> </v>
      </c>
      <c r="B91" s="10"/>
      <c r="C91" s="18"/>
      <c r="D91" s="21" t="str">
        <f>IF(C91&lt;&gt;"",INDEX(Segédlet!$B$5:$B$37,MATCH(C91,Segédlet!$C$5:$C$37,0)),"")</f>
        <v/>
      </c>
      <c r="E91" s="19"/>
      <c r="F91" s="8"/>
      <c r="G91" s="5" t="str">
        <f t="shared" si="10"/>
        <v/>
      </c>
      <c r="H91" s="8" t="str">
        <f t="shared" si="11"/>
        <v/>
      </c>
      <c r="I91" s="8" t="str">
        <f t="shared" si="12"/>
        <v/>
      </c>
      <c r="J91" s="8" t="str">
        <f t="shared" si="14"/>
        <v/>
      </c>
      <c r="K91" s="11"/>
      <c r="L91" s="11" t="str">
        <f t="shared" si="15"/>
        <v/>
      </c>
      <c r="M91" s="20"/>
      <c r="N91" s="6" t="str">
        <f>IF(B91&lt;&gt;"",IF(AND(I91&gt;0,R91&gt;0),(K91+J91-I91)*VLOOKUP(M91,Segédlet!$I$5:$J$12,2,0),(K91+J91)*VLOOKUP(M91,Segédlet!$I$5:$J$12,2,0)),"")</f>
        <v/>
      </c>
      <c r="O91" s="6" t="str">
        <f>IF(B91&lt;&gt;"",IF(G91&lt;=14,G91*J91*VLOOKUP(C91,Segédlet!$C$5:$G$37,4,0),J91*14*VLOOKUP(C91,Segédlet!$C$5:$G$37,4,0)+(G91-14)*J91*VLOOKUP(C91,Segédlet!$C$5:$G$37,5,0)),"")</f>
        <v/>
      </c>
      <c r="P91" s="6" t="str">
        <f>IF(B91&lt;&gt;"",IF(G91&lt;=14,G91*K91*VLOOKUP(C91,Segédlet!$C$5:$G$37,4,0),K91*14*VLOOKUP(C91,Segédlet!$C$5:$G$37,4,0)+(G91-14)*K91*VLOOKUP(C91,Segédlet!$C$5:$G$37,5,0)),"")</f>
        <v/>
      </c>
      <c r="Q91" s="12" t="str">
        <f t="shared" si="16"/>
        <v/>
      </c>
      <c r="R91" s="12" t="str">
        <f t="shared" si="17"/>
        <v/>
      </c>
      <c r="S91" s="22" t="str">
        <f t="shared" si="13"/>
        <v/>
      </c>
    </row>
    <row r="92" spans="1:19" x14ac:dyDescent="0.2">
      <c r="A92" s="57" t="str">
        <f t="shared" si="18"/>
        <v xml:space="preserve"> </v>
      </c>
      <c r="B92" s="10"/>
      <c r="C92" s="18"/>
      <c r="D92" s="21" t="str">
        <f>IF(C92&lt;&gt;"",INDEX(Segédlet!$B$5:$B$37,MATCH(C92,Segédlet!$C$5:$C$37,0)),"")</f>
        <v/>
      </c>
      <c r="E92" s="19"/>
      <c r="F92" s="8"/>
      <c r="G92" s="5" t="str">
        <f t="shared" si="10"/>
        <v/>
      </c>
      <c r="H92" s="8" t="str">
        <f t="shared" si="11"/>
        <v/>
      </c>
      <c r="I92" s="8" t="str">
        <f t="shared" si="12"/>
        <v/>
      </c>
      <c r="J92" s="8" t="str">
        <f t="shared" si="14"/>
        <v/>
      </c>
      <c r="K92" s="11"/>
      <c r="L92" s="11" t="str">
        <f t="shared" si="15"/>
        <v/>
      </c>
      <c r="M92" s="20"/>
      <c r="N92" s="6" t="str">
        <f>IF(B92&lt;&gt;"",IF(AND(I92&gt;0,R92&gt;0),(K92+J92-I92)*VLOOKUP(M92,Segédlet!$I$5:$J$12,2,0),(K92+J92)*VLOOKUP(M92,Segédlet!$I$5:$J$12,2,0)),"")</f>
        <v/>
      </c>
      <c r="O92" s="6" t="str">
        <f>IF(B92&lt;&gt;"",IF(G92&lt;=14,G92*J92*VLOOKUP(C92,Segédlet!$C$5:$G$37,4,0),J92*14*VLOOKUP(C92,Segédlet!$C$5:$G$37,4,0)+(G92-14)*J92*VLOOKUP(C92,Segédlet!$C$5:$G$37,5,0)),"")</f>
        <v/>
      </c>
      <c r="P92" s="6" t="str">
        <f>IF(B92&lt;&gt;"",IF(G92&lt;=14,G92*K92*VLOOKUP(C92,Segédlet!$C$5:$G$37,4,0),K92*14*VLOOKUP(C92,Segédlet!$C$5:$G$37,4,0)+(G92-14)*K92*VLOOKUP(C92,Segédlet!$C$5:$G$37,5,0)),"")</f>
        <v/>
      </c>
      <c r="Q92" s="12" t="str">
        <f t="shared" si="16"/>
        <v/>
      </c>
      <c r="R92" s="12" t="str">
        <f t="shared" si="17"/>
        <v/>
      </c>
      <c r="S92" s="22" t="str">
        <f t="shared" si="13"/>
        <v/>
      </c>
    </row>
    <row r="93" spans="1:19" x14ac:dyDescent="0.2">
      <c r="A93" s="57" t="str">
        <f t="shared" si="18"/>
        <v xml:space="preserve"> </v>
      </c>
      <c r="B93" s="10"/>
      <c r="C93" s="18"/>
      <c r="D93" s="21" t="str">
        <f>IF(C93&lt;&gt;"",INDEX(Segédlet!$B$5:$B$37,MATCH(C93,Segédlet!$C$5:$C$37,0)),"")</f>
        <v/>
      </c>
      <c r="E93" s="19"/>
      <c r="F93" s="8"/>
      <c r="G93" s="5" t="str">
        <f t="shared" si="10"/>
        <v/>
      </c>
      <c r="H93" s="8" t="str">
        <f t="shared" si="11"/>
        <v/>
      </c>
      <c r="I93" s="8" t="str">
        <f t="shared" si="12"/>
        <v/>
      </c>
      <c r="J93" s="8" t="str">
        <f t="shared" si="14"/>
        <v/>
      </c>
      <c r="K93" s="11"/>
      <c r="L93" s="11" t="str">
        <f t="shared" si="15"/>
        <v/>
      </c>
      <c r="M93" s="20"/>
      <c r="N93" s="6" t="str">
        <f>IF(B93&lt;&gt;"",IF(AND(I93&gt;0,R93&gt;0),(K93+J93-I93)*VLOOKUP(M93,Segédlet!$I$5:$J$12,2,0),(K93+J93)*VLOOKUP(M93,Segédlet!$I$5:$J$12,2,0)),"")</f>
        <v/>
      </c>
      <c r="O93" s="6" t="str">
        <f>IF(B93&lt;&gt;"",IF(G93&lt;=14,G93*J93*VLOOKUP(C93,Segédlet!$C$5:$G$37,4,0),J93*14*VLOOKUP(C93,Segédlet!$C$5:$G$37,4,0)+(G93-14)*J93*VLOOKUP(C93,Segédlet!$C$5:$G$37,5,0)),"")</f>
        <v/>
      </c>
      <c r="P93" s="6" t="str">
        <f>IF(B93&lt;&gt;"",IF(G93&lt;=14,G93*K93*VLOOKUP(C93,Segédlet!$C$5:$G$37,4,0),K93*14*VLOOKUP(C93,Segédlet!$C$5:$G$37,4,0)+(G93-14)*K93*VLOOKUP(C93,Segédlet!$C$5:$G$37,5,0)),"")</f>
        <v/>
      </c>
      <c r="Q93" s="12" t="str">
        <f t="shared" si="16"/>
        <v/>
      </c>
      <c r="R93" s="12" t="str">
        <f t="shared" si="17"/>
        <v/>
      </c>
      <c r="S93" s="22" t="str">
        <f t="shared" si="13"/>
        <v/>
      </c>
    </row>
    <row r="94" spans="1:19" x14ac:dyDescent="0.2">
      <c r="A94" s="57" t="str">
        <f t="shared" si="18"/>
        <v xml:space="preserve"> </v>
      </c>
      <c r="B94" s="10"/>
      <c r="C94" s="18"/>
      <c r="D94" s="21" t="str">
        <f>IF(C94&lt;&gt;"",INDEX(Segédlet!$B$5:$B$37,MATCH(C94,Segédlet!$C$5:$C$37,0)),"")</f>
        <v/>
      </c>
      <c r="E94" s="19"/>
      <c r="F94" s="8"/>
      <c r="G94" s="5" t="str">
        <f t="shared" si="10"/>
        <v/>
      </c>
      <c r="H94" s="8" t="str">
        <f t="shared" si="11"/>
        <v/>
      </c>
      <c r="I94" s="8" t="str">
        <f t="shared" si="12"/>
        <v/>
      </c>
      <c r="J94" s="8" t="str">
        <f t="shared" si="14"/>
        <v/>
      </c>
      <c r="K94" s="11"/>
      <c r="L94" s="11" t="str">
        <f t="shared" si="15"/>
        <v/>
      </c>
      <c r="M94" s="20"/>
      <c r="N94" s="6" t="str">
        <f>IF(B94&lt;&gt;"",IF(AND(I94&gt;0,R94&gt;0),(K94+J94-I94)*VLOOKUP(M94,Segédlet!$I$5:$J$12,2,0),(K94+J94)*VLOOKUP(M94,Segédlet!$I$5:$J$12,2,0)),"")</f>
        <v/>
      </c>
      <c r="O94" s="6" t="str">
        <f>IF(B94&lt;&gt;"",IF(G94&lt;=14,G94*J94*VLOOKUP(C94,Segédlet!$C$5:$G$37,4,0),J94*14*VLOOKUP(C94,Segédlet!$C$5:$G$37,4,0)+(G94-14)*J94*VLOOKUP(C94,Segédlet!$C$5:$G$37,5,0)),"")</f>
        <v/>
      </c>
      <c r="P94" s="6" t="str">
        <f>IF(B94&lt;&gt;"",IF(G94&lt;=14,G94*K94*VLOOKUP(C94,Segédlet!$C$5:$G$37,4,0),K94*14*VLOOKUP(C94,Segédlet!$C$5:$G$37,4,0)+(G94-14)*K94*VLOOKUP(C94,Segédlet!$C$5:$G$37,5,0)),"")</f>
        <v/>
      </c>
      <c r="Q94" s="12" t="str">
        <f t="shared" si="16"/>
        <v/>
      </c>
      <c r="R94" s="12" t="str">
        <f t="shared" si="17"/>
        <v/>
      </c>
      <c r="S94" s="22" t="str">
        <f t="shared" si="13"/>
        <v/>
      </c>
    </row>
    <row r="95" spans="1:19" x14ac:dyDescent="0.2">
      <c r="A95" s="57" t="str">
        <f t="shared" si="18"/>
        <v xml:space="preserve"> </v>
      </c>
      <c r="B95" s="10"/>
      <c r="C95" s="18"/>
      <c r="D95" s="21" t="str">
        <f>IF(C95&lt;&gt;"",INDEX(Segédlet!$B$5:$B$37,MATCH(C95,Segédlet!$C$5:$C$37,0)),"")</f>
        <v/>
      </c>
      <c r="E95" s="19"/>
      <c r="F95" s="8"/>
      <c r="G95" s="5" t="str">
        <f t="shared" si="10"/>
        <v/>
      </c>
      <c r="H95" s="8" t="str">
        <f t="shared" si="11"/>
        <v/>
      </c>
      <c r="I95" s="8" t="str">
        <f t="shared" si="12"/>
        <v/>
      </c>
      <c r="J95" s="8" t="str">
        <f t="shared" si="14"/>
        <v/>
      </c>
      <c r="K95" s="11"/>
      <c r="L95" s="11" t="str">
        <f t="shared" si="15"/>
        <v/>
      </c>
      <c r="M95" s="20"/>
      <c r="N95" s="6" t="str">
        <f>IF(B95&lt;&gt;"",IF(AND(I95&gt;0,R95&gt;0),(K95+J95-I95)*VLOOKUP(M95,Segédlet!$I$5:$J$12,2,0),(K95+J95)*VLOOKUP(M95,Segédlet!$I$5:$J$12,2,0)),"")</f>
        <v/>
      </c>
      <c r="O95" s="6" t="str">
        <f>IF(B95&lt;&gt;"",IF(G95&lt;=14,G95*J95*VLOOKUP(C95,Segédlet!$C$5:$G$37,4,0),J95*14*VLOOKUP(C95,Segédlet!$C$5:$G$37,4,0)+(G95-14)*J95*VLOOKUP(C95,Segédlet!$C$5:$G$37,5,0)),"")</f>
        <v/>
      </c>
      <c r="P95" s="6" t="str">
        <f>IF(B95&lt;&gt;"",IF(G95&lt;=14,G95*K95*VLOOKUP(C95,Segédlet!$C$5:$G$37,4,0),K95*14*VLOOKUP(C95,Segédlet!$C$5:$G$37,4,0)+(G95-14)*K95*VLOOKUP(C95,Segédlet!$C$5:$G$37,5,0)),"")</f>
        <v/>
      </c>
      <c r="Q95" s="12" t="str">
        <f t="shared" si="16"/>
        <v/>
      </c>
      <c r="R95" s="12" t="str">
        <f t="shared" si="17"/>
        <v/>
      </c>
      <c r="S95" s="22" t="str">
        <f t="shared" si="13"/>
        <v/>
      </c>
    </row>
    <row r="96" spans="1:19" x14ac:dyDescent="0.2">
      <c r="A96" s="57" t="str">
        <f t="shared" si="18"/>
        <v xml:space="preserve"> </v>
      </c>
      <c r="B96" s="10"/>
      <c r="C96" s="18"/>
      <c r="D96" s="21" t="str">
        <f>IF(C96&lt;&gt;"",INDEX(Segédlet!$B$5:$B$37,MATCH(C96,Segédlet!$C$5:$C$37,0)),"")</f>
        <v/>
      </c>
      <c r="E96" s="19"/>
      <c r="F96" s="8"/>
      <c r="G96" s="5" t="str">
        <f t="shared" si="10"/>
        <v/>
      </c>
      <c r="H96" s="8" t="str">
        <f t="shared" si="11"/>
        <v/>
      </c>
      <c r="I96" s="8" t="str">
        <f t="shared" si="12"/>
        <v/>
      </c>
      <c r="J96" s="8" t="str">
        <f t="shared" si="14"/>
        <v/>
      </c>
      <c r="K96" s="11"/>
      <c r="L96" s="11" t="str">
        <f t="shared" si="15"/>
        <v/>
      </c>
      <c r="M96" s="20"/>
      <c r="N96" s="6" t="str">
        <f>IF(B96&lt;&gt;"",IF(AND(I96&gt;0,R96&gt;0),(K96+J96-I96)*VLOOKUP(M96,Segédlet!$I$5:$J$12,2,0),(K96+J96)*VLOOKUP(M96,Segédlet!$I$5:$J$12,2,0)),"")</f>
        <v/>
      </c>
      <c r="O96" s="6" t="str">
        <f>IF(B96&lt;&gt;"",IF(G96&lt;=14,G96*J96*VLOOKUP(C96,Segédlet!$C$5:$G$37,4,0),J96*14*VLOOKUP(C96,Segédlet!$C$5:$G$37,4,0)+(G96-14)*J96*VLOOKUP(C96,Segédlet!$C$5:$G$37,5,0)),"")</f>
        <v/>
      </c>
      <c r="P96" s="6" t="str">
        <f>IF(B96&lt;&gt;"",IF(G96&lt;=14,G96*K96*VLOOKUP(C96,Segédlet!$C$5:$G$37,4,0),K96*14*VLOOKUP(C96,Segédlet!$C$5:$G$37,4,0)+(G96-14)*K96*VLOOKUP(C96,Segédlet!$C$5:$G$37,5,0)),"")</f>
        <v/>
      </c>
      <c r="Q96" s="12" t="str">
        <f t="shared" si="16"/>
        <v/>
      </c>
      <c r="R96" s="12" t="str">
        <f t="shared" si="17"/>
        <v/>
      </c>
      <c r="S96" s="22" t="str">
        <f t="shared" si="13"/>
        <v/>
      </c>
    </row>
    <row r="97" spans="1:19" x14ac:dyDescent="0.2">
      <c r="A97" s="57" t="str">
        <f t="shared" si="18"/>
        <v xml:space="preserve"> </v>
      </c>
      <c r="B97" s="10"/>
      <c r="C97" s="18"/>
      <c r="D97" s="21" t="str">
        <f>IF(C97&lt;&gt;"",INDEX(Segédlet!$B$5:$B$37,MATCH(C97,Segédlet!$C$5:$C$37,0)),"")</f>
        <v/>
      </c>
      <c r="E97" s="19"/>
      <c r="F97" s="8"/>
      <c r="G97" s="5" t="str">
        <f t="shared" si="10"/>
        <v/>
      </c>
      <c r="H97" s="8" t="str">
        <f t="shared" si="11"/>
        <v/>
      </c>
      <c r="I97" s="8" t="str">
        <f t="shared" si="12"/>
        <v/>
      </c>
      <c r="J97" s="8" t="str">
        <f t="shared" si="14"/>
        <v/>
      </c>
      <c r="K97" s="11"/>
      <c r="L97" s="11" t="str">
        <f t="shared" si="15"/>
        <v/>
      </c>
      <c r="M97" s="20"/>
      <c r="N97" s="6" t="str">
        <f>IF(B97&lt;&gt;"",IF(AND(I97&gt;0,R97&gt;0),(K97+J97-I97)*VLOOKUP(M97,Segédlet!$I$5:$J$12,2,0),(K97+J97)*VLOOKUP(M97,Segédlet!$I$5:$J$12,2,0)),"")</f>
        <v/>
      </c>
      <c r="O97" s="6" t="str">
        <f>IF(B97&lt;&gt;"",IF(G97&lt;=14,G97*J97*VLOOKUP(C97,Segédlet!$C$5:$G$37,4,0),J97*14*VLOOKUP(C97,Segédlet!$C$5:$G$37,4,0)+(G97-14)*J97*VLOOKUP(C97,Segédlet!$C$5:$G$37,5,0)),"")</f>
        <v/>
      </c>
      <c r="P97" s="6" t="str">
        <f>IF(B97&lt;&gt;"",IF(G97&lt;=14,G97*K97*VLOOKUP(C97,Segédlet!$C$5:$G$37,4,0),K97*14*VLOOKUP(C97,Segédlet!$C$5:$G$37,4,0)+(G97-14)*K97*VLOOKUP(C97,Segédlet!$C$5:$G$37,5,0)),"")</f>
        <v/>
      </c>
      <c r="Q97" s="12" t="str">
        <f t="shared" si="16"/>
        <v/>
      </c>
      <c r="R97" s="12" t="str">
        <f t="shared" si="17"/>
        <v/>
      </c>
      <c r="S97" s="22" t="str">
        <f t="shared" si="13"/>
        <v/>
      </c>
    </row>
    <row r="98" spans="1:19" x14ac:dyDescent="0.2">
      <c r="A98" s="57" t="str">
        <f t="shared" si="18"/>
        <v xml:space="preserve"> </v>
      </c>
      <c r="B98" s="10"/>
      <c r="C98" s="18"/>
      <c r="D98" s="21" t="str">
        <f>IF(C98&lt;&gt;"",INDEX(Segédlet!$B$5:$B$37,MATCH(C98,Segédlet!$C$5:$C$37,0)),"")</f>
        <v/>
      </c>
      <c r="E98" s="19"/>
      <c r="F98" s="8"/>
      <c r="G98" s="5" t="str">
        <f t="shared" si="10"/>
        <v/>
      </c>
      <c r="H98" s="8" t="str">
        <f t="shared" si="11"/>
        <v/>
      </c>
      <c r="I98" s="8" t="str">
        <f t="shared" si="12"/>
        <v/>
      </c>
      <c r="J98" s="8" t="str">
        <f t="shared" si="14"/>
        <v/>
      </c>
      <c r="K98" s="11"/>
      <c r="L98" s="11" t="str">
        <f t="shared" si="15"/>
        <v/>
      </c>
      <c r="M98" s="20"/>
      <c r="N98" s="6" t="str">
        <f>IF(B98&lt;&gt;"",IF(AND(I98&gt;0,R98&gt;0),(K98+J98-I98)*VLOOKUP(M98,Segédlet!$I$5:$J$12,2,0),(K98+J98)*VLOOKUP(M98,Segédlet!$I$5:$J$12,2,0)),"")</f>
        <v/>
      </c>
      <c r="O98" s="6" t="str">
        <f>IF(B98&lt;&gt;"",IF(G98&lt;=14,G98*J98*VLOOKUP(C98,Segédlet!$C$5:$G$37,4,0),J98*14*VLOOKUP(C98,Segédlet!$C$5:$G$37,4,0)+(G98-14)*J98*VLOOKUP(C98,Segédlet!$C$5:$G$37,5,0)),"")</f>
        <v/>
      </c>
      <c r="P98" s="6" t="str">
        <f>IF(B98&lt;&gt;"",IF(G98&lt;=14,G98*K98*VLOOKUP(C98,Segédlet!$C$5:$G$37,4,0),K98*14*VLOOKUP(C98,Segédlet!$C$5:$G$37,4,0)+(G98-14)*K98*VLOOKUP(C98,Segédlet!$C$5:$G$37,5,0)),"")</f>
        <v/>
      </c>
      <c r="Q98" s="12" t="str">
        <f t="shared" si="16"/>
        <v/>
      </c>
      <c r="R98" s="12" t="str">
        <f t="shared" si="17"/>
        <v/>
      </c>
      <c r="S98" s="22" t="str">
        <f t="shared" si="13"/>
        <v/>
      </c>
    </row>
    <row r="99" spans="1:19" x14ac:dyDescent="0.2">
      <c r="A99" s="57" t="str">
        <f t="shared" si="18"/>
        <v xml:space="preserve"> </v>
      </c>
      <c r="B99" s="10"/>
      <c r="C99" s="18"/>
      <c r="D99" s="21" t="str">
        <f>IF(C99&lt;&gt;"",INDEX(Segédlet!$B$5:$B$37,MATCH(C99,Segédlet!$C$5:$C$37,0)),"")</f>
        <v/>
      </c>
      <c r="E99" s="19"/>
      <c r="F99" s="8"/>
      <c r="G99" s="5" t="str">
        <f t="shared" si="10"/>
        <v/>
      </c>
      <c r="H99" s="8" t="str">
        <f t="shared" si="11"/>
        <v/>
      </c>
      <c r="I99" s="8" t="str">
        <f t="shared" si="12"/>
        <v/>
      </c>
      <c r="J99" s="8" t="str">
        <f t="shared" si="14"/>
        <v/>
      </c>
      <c r="K99" s="11"/>
      <c r="L99" s="11" t="str">
        <f t="shared" si="15"/>
        <v/>
      </c>
      <c r="M99" s="20"/>
      <c r="N99" s="6" t="str">
        <f>IF(B99&lt;&gt;"",IF(AND(I99&gt;0,R99&gt;0),(K99+J99-I99)*VLOOKUP(M99,Segédlet!$I$5:$J$12,2,0),(K99+J99)*VLOOKUP(M99,Segédlet!$I$5:$J$12,2,0)),"")</f>
        <v/>
      </c>
      <c r="O99" s="6" t="str">
        <f>IF(B99&lt;&gt;"",IF(G99&lt;=14,G99*J99*VLOOKUP(C99,Segédlet!$C$5:$G$37,4,0),J99*14*VLOOKUP(C99,Segédlet!$C$5:$G$37,4,0)+(G99-14)*J99*VLOOKUP(C99,Segédlet!$C$5:$G$37,5,0)),"")</f>
        <v/>
      </c>
      <c r="P99" s="6" t="str">
        <f>IF(B99&lt;&gt;"",IF(G99&lt;=14,G99*K99*VLOOKUP(C99,Segédlet!$C$5:$G$37,4,0),K99*14*VLOOKUP(C99,Segédlet!$C$5:$G$37,4,0)+(G99-14)*K99*VLOOKUP(C99,Segédlet!$C$5:$G$37,5,0)),"")</f>
        <v/>
      </c>
      <c r="Q99" s="12" t="str">
        <f t="shared" si="16"/>
        <v/>
      </c>
      <c r="R99" s="12" t="str">
        <f t="shared" si="17"/>
        <v/>
      </c>
      <c r="S99" s="22" t="str">
        <f t="shared" si="13"/>
        <v/>
      </c>
    </row>
    <row r="100" spans="1:19" x14ac:dyDescent="0.2">
      <c r="A100" s="57" t="str">
        <f t="shared" si="18"/>
        <v xml:space="preserve"> </v>
      </c>
      <c r="B100" s="10"/>
      <c r="C100" s="18"/>
      <c r="D100" s="21" t="str">
        <f>IF(C100&lt;&gt;"",INDEX(Segédlet!$B$5:$B$37,MATCH(C100,Segédlet!$C$5:$C$37,0)),"")</f>
        <v/>
      </c>
      <c r="E100" s="19"/>
      <c r="F100" s="8"/>
      <c r="G100" s="5" t="str">
        <f t="shared" si="10"/>
        <v/>
      </c>
      <c r="H100" s="8" t="str">
        <f t="shared" si="11"/>
        <v/>
      </c>
      <c r="I100" s="8" t="str">
        <f t="shared" si="12"/>
        <v/>
      </c>
      <c r="J100" s="8" t="str">
        <f t="shared" si="14"/>
        <v/>
      </c>
      <c r="K100" s="11"/>
      <c r="L100" s="11" t="str">
        <f t="shared" si="15"/>
        <v/>
      </c>
      <c r="M100" s="20"/>
      <c r="N100" s="6" t="str">
        <f>IF(B100&lt;&gt;"",IF(AND(I100&gt;0,R100&gt;0),(K100+J100-I100)*VLOOKUP(M100,Segédlet!$I$5:$J$12,2,0),(K100+J100)*VLOOKUP(M100,Segédlet!$I$5:$J$12,2,0)),"")</f>
        <v/>
      </c>
      <c r="O100" s="6" t="str">
        <f>IF(B100&lt;&gt;"",IF(G100&lt;=14,G100*J100*VLOOKUP(C100,Segédlet!$C$5:$G$37,4,0),J100*14*VLOOKUP(C100,Segédlet!$C$5:$G$37,4,0)+(G100-14)*J100*VLOOKUP(C100,Segédlet!$C$5:$G$37,5,0)),"")</f>
        <v/>
      </c>
      <c r="P100" s="6" t="str">
        <f>IF(B100&lt;&gt;"",IF(G100&lt;=14,G100*K100*VLOOKUP(C100,Segédlet!$C$5:$G$37,4,0),K100*14*VLOOKUP(C100,Segédlet!$C$5:$G$37,4,0)+(G100-14)*K100*VLOOKUP(C100,Segédlet!$C$5:$G$37,5,0)),"")</f>
        <v/>
      </c>
      <c r="Q100" s="12" t="str">
        <f t="shared" si="16"/>
        <v/>
      </c>
      <c r="R100" s="12" t="str">
        <f t="shared" si="17"/>
        <v/>
      </c>
      <c r="S100" s="22" t="str">
        <f t="shared" si="13"/>
        <v/>
      </c>
    </row>
    <row r="101" spans="1:19" x14ac:dyDescent="0.2">
      <c r="A101" s="57" t="str">
        <f t="shared" si="18"/>
        <v xml:space="preserve"> </v>
      </c>
      <c r="B101" s="10"/>
      <c r="C101" s="18"/>
      <c r="D101" s="21" t="str">
        <f>IF(C101&lt;&gt;"",INDEX(Segédlet!$B$5:$B$37,MATCH(C101,Segédlet!$C$5:$C$37,0)),"")</f>
        <v/>
      </c>
      <c r="E101" s="19"/>
      <c r="F101" s="8"/>
      <c r="G101" s="5" t="str">
        <f t="shared" si="10"/>
        <v/>
      </c>
      <c r="H101" s="8" t="str">
        <f t="shared" si="11"/>
        <v/>
      </c>
      <c r="I101" s="8" t="str">
        <f t="shared" si="12"/>
        <v/>
      </c>
      <c r="J101" s="8" t="str">
        <f t="shared" si="14"/>
        <v/>
      </c>
      <c r="K101" s="11"/>
      <c r="L101" s="11" t="str">
        <f t="shared" si="15"/>
        <v/>
      </c>
      <c r="M101" s="20"/>
      <c r="N101" s="6" t="str">
        <f>IF(B101&lt;&gt;"",IF(AND(I101&gt;0,R101&gt;0),(K101+J101-I101)*VLOOKUP(M101,Segédlet!$I$5:$J$12,2,0),(K101+J101)*VLOOKUP(M101,Segédlet!$I$5:$J$12,2,0)),"")</f>
        <v/>
      </c>
      <c r="O101" s="6" t="str">
        <f>IF(B101&lt;&gt;"",IF(G101&lt;=14,G101*J101*VLOOKUP(C101,Segédlet!$C$5:$G$37,4,0),J101*14*VLOOKUP(C101,Segédlet!$C$5:$G$37,4,0)+(G101-14)*J101*VLOOKUP(C101,Segédlet!$C$5:$G$37,5,0)),"")</f>
        <v/>
      </c>
      <c r="P101" s="6" t="str">
        <f>IF(B101&lt;&gt;"",IF(G101&lt;=14,G101*K101*VLOOKUP(C101,Segédlet!$C$5:$G$37,4,0),K101*14*VLOOKUP(C101,Segédlet!$C$5:$G$37,4,0)+(G101-14)*K101*VLOOKUP(C101,Segédlet!$C$5:$G$37,5,0)),"")</f>
        <v/>
      </c>
      <c r="Q101" s="12" t="str">
        <f t="shared" si="16"/>
        <v/>
      </c>
      <c r="R101" s="12" t="str">
        <f t="shared" si="17"/>
        <v/>
      </c>
      <c r="S101" s="22" t="str">
        <f t="shared" si="13"/>
        <v/>
      </c>
    </row>
    <row r="102" spans="1:19" x14ac:dyDescent="0.2">
      <c r="A102" s="57" t="str">
        <f t="shared" si="18"/>
        <v xml:space="preserve"> </v>
      </c>
      <c r="B102" s="10"/>
      <c r="C102" s="18"/>
      <c r="D102" s="21" t="str">
        <f>IF(C102&lt;&gt;"",INDEX(Segédlet!$B$5:$B$37,MATCH(C102,Segédlet!$C$5:$C$37,0)),"")</f>
        <v/>
      </c>
      <c r="E102" s="19"/>
      <c r="F102" s="8"/>
      <c r="G102" s="5" t="str">
        <f t="shared" si="10"/>
        <v/>
      </c>
      <c r="H102" s="8" t="str">
        <f t="shared" si="11"/>
        <v/>
      </c>
      <c r="I102" s="8" t="str">
        <f t="shared" si="12"/>
        <v/>
      </c>
      <c r="J102" s="8" t="str">
        <f t="shared" si="14"/>
        <v/>
      </c>
      <c r="K102" s="11"/>
      <c r="L102" s="11" t="str">
        <f t="shared" si="15"/>
        <v/>
      </c>
      <c r="M102" s="20"/>
      <c r="N102" s="6" t="str">
        <f>IF(B102&lt;&gt;"",IF(AND(I102&gt;0,R102&gt;0),(K102+J102-I102)*VLOOKUP(M102,Segédlet!$I$5:$J$12,2,0),(K102+J102)*VLOOKUP(M102,Segédlet!$I$5:$J$12,2,0)),"")</f>
        <v/>
      </c>
      <c r="O102" s="6" t="str">
        <f>IF(B102&lt;&gt;"",IF(G102&lt;=14,G102*J102*VLOOKUP(C102,Segédlet!$C$5:$G$37,4,0),J102*14*VLOOKUP(C102,Segédlet!$C$5:$G$37,4,0)+(G102-14)*J102*VLOOKUP(C102,Segédlet!$C$5:$G$37,5,0)),"")</f>
        <v/>
      </c>
      <c r="P102" s="6" t="str">
        <f>IF(B102&lt;&gt;"",IF(G102&lt;=14,G102*K102*VLOOKUP(C102,Segédlet!$C$5:$G$37,4,0),K102*14*VLOOKUP(C102,Segédlet!$C$5:$G$37,4,0)+(G102-14)*K102*VLOOKUP(C102,Segédlet!$C$5:$G$37,5,0)),"")</f>
        <v/>
      </c>
      <c r="Q102" s="12" t="str">
        <f t="shared" si="16"/>
        <v/>
      </c>
      <c r="R102" s="12" t="str">
        <f t="shared" si="17"/>
        <v/>
      </c>
      <c r="S102" s="22" t="str">
        <f t="shared" si="13"/>
        <v/>
      </c>
    </row>
    <row r="103" spans="1:19" x14ac:dyDescent="0.2">
      <c r="A103" s="57" t="str">
        <f t="shared" si="18"/>
        <v xml:space="preserve"> </v>
      </c>
      <c r="B103" s="10"/>
      <c r="C103" s="18"/>
      <c r="D103" s="21" t="str">
        <f>IF(C103&lt;&gt;"",INDEX(Segédlet!$B$5:$B$37,MATCH(C103,Segédlet!$C$5:$C$37,0)),"")</f>
        <v/>
      </c>
      <c r="E103" s="19"/>
      <c r="F103" s="8"/>
      <c r="G103" s="5" t="str">
        <f t="shared" si="10"/>
        <v/>
      </c>
      <c r="H103" s="8" t="str">
        <f t="shared" si="11"/>
        <v/>
      </c>
      <c r="I103" s="8" t="str">
        <f t="shared" si="12"/>
        <v/>
      </c>
      <c r="J103" s="8" t="str">
        <f t="shared" si="14"/>
        <v/>
      </c>
      <c r="K103" s="11"/>
      <c r="L103" s="11" t="str">
        <f t="shared" si="15"/>
        <v/>
      </c>
      <c r="M103" s="20"/>
      <c r="N103" s="6" t="str">
        <f>IF(B103&lt;&gt;"",IF(AND(I103&gt;0,R103&gt;0),(K103+J103-I103)*VLOOKUP(M103,Segédlet!$I$5:$J$12,2,0),(K103+J103)*VLOOKUP(M103,Segédlet!$I$5:$J$12,2,0)),"")</f>
        <v/>
      </c>
      <c r="O103" s="6" t="str">
        <f>IF(B103&lt;&gt;"",IF(G103&lt;=14,G103*J103*VLOOKUP(C103,Segédlet!$C$5:$G$37,4,0),J103*14*VLOOKUP(C103,Segédlet!$C$5:$G$37,4,0)+(G103-14)*J103*VLOOKUP(C103,Segédlet!$C$5:$G$37,5,0)),"")</f>
        <v/>
      </c>
      <c r="P103" s="6" t="str">
        <f>IF(B103&lt;&gt;"",IF(G103&lt;=14,G103*K103*VLOOKUP(C103,Segédlet!$C$5:$G$37,4,0),K103*14*VLOOKUP(C103,Segédlet!$C$5:$G$37,4,0)+(G103-14)*K103*VLOOKUP(C103,Segédlet!$C$5:$G$37,5,0)),"")</f>
        <v/>
      </c>
      <c r="Q103" s="12" t="str">
        <f t="shared" si="16"/>
        <v/>
      </c>
      <c r="R103" s="12" t="str">
        <f t="shared" si="17"/>
        <v/>
      </c>
      <c r="S103" s="22" t="str">
        <f>IF(B103&lt;&gt;"",SUM(N103:R103),"")</f>
        <v/>
      </c>
    </row>
    <row r="104" spans="1:19" x14ac:dyDescent="0.2">
      <c r="A104" s="57" t="str">
        <f t="shared" si="18"/>
        <v xml:space="preserve"> </v>
      </c>
      <c r="B104" s="10"/>
      <c r="C104" s="18"/>
      <c r="D104" s="21" t="str">
        <f>IF(C104&lt;&gt;"",INDEX(Segédlet!$B$5:$B$37,MATCH(C104,Segédlet!$C$5:$C$37,0)),"")</f>
        <v/>
      </c>
      <c r="E104" s="19"/>
      <c r="F104" s="8"/>
      <c r="G104" s="5" t="str">
        <f t="shared" si="10"/>
        <v/>
      </c>
      <c r="H104" s="8" t="str">
        <f t="shared" si="11"/>
        <v/>
      </c>
      <c r="I104" s="8" t="str">
        <f t="shared" si="12"/>
        <v/>
      </c>
      <c r="J104" s="8" t="str">
        <f t="shared" si="14"/>
        <v/>
      </c>
      <c r="K104" s="11"/>
      <c r="L104" s="11" t="str">
        <f t="shared" si="15"/>
        <v/>
      </c>
      <c r="M104" s="20"/>
      <c r="N104" s="6" t="str">
        <f>IF(B104&lt;&gt;"",IF(AND(I104&gt;0,R104&gt;0),(K104+J104-I104)*VLOOKUP(M104,Segédlet!$I$5:$J$12,2,0),(K104+J104)*VLOOKUP(M104,Segédlet!$I$5:$J$12,2,0)),"")</f>
        <v/>
      </c>
      <c r="O104" s="6" t="str">
        <f>IF(B104&lt;&gt;"",IF(G104&lt;=14,G104*J104*VLOOKUP(C104,Segédlet!$C$5:$G$37,4,0),J104*14*VLOOKUP(C104,Segédlet!$C$5:$G$37,4,0)+(G104-14)*J104*VLOOKUP(C104,Segédlet!$C$5:$G$37,5,0)),"")</f>
        <v/>
      </c>
      <c r="P104" s="6" t="str">
        <f>IF(B104&lt;&gt;"",IF(G104&lt;=14,G104*K104*VLOOKUP(C104,Segédlet!$C$5:$G$37,4,0),K104*14*VLOOKUP(C104,Segédlet!$C$5:$G$37,4,0)+(G104-14)*K104*VLOOKUP(C104,Segédlet!$C$5:$G$37,5,0)),"")</f>
        <v/>
      </c>
      <c r="Q104" s="12" t="str">
        <f t="shared" si="16"/>
        <v/>
      </c>
      <c r="R104" s="12" t="str">
        <f t="shared" si="17"/>
        <v/>
      </c>
      <c r="S104" s="22" t="str">
        <f>IF(B104&lt;&gt;"",SUM(N104:R104),"")</f>
        <v/>
      </c>
    </row>
    <row r="105" spans="1:19" x14ac:dyDescent="0.2">
      <c r="A105" s="57" t="str">
        <f t="shared" si="18"/>
        <v xml:space="preserve"> </v>
      </c>
      <c r="B105" s="10"/>
      <c r="C105" s="18"/>
      <c r="D105" s="21" t="str">
        <f>IF(C105&lt;&gt;"",INDEX(Segédlet!$B$5:$B$37,MATCH(C105,Segédlet!$C$5:$C$37,0)),"")</f>
        <v/>
      </c>
      <c r="E105" s="19"/>
      <c r="F105" s="8"/>
      <c r="G105" s="5" t="str">
        <f t="shared" si="10"/>
        <v/>
      </c>
      <c r="H105" s="8" t="str">
        <f t="shared" si="11"/>
        <v/>
      </c>
      <c r="I105" s="8" t="str">
        <f t="shared" si="12"/>
        <v/>
      </c>
      <c r="J105" s="8" t="str">
        <f t="shared" si="14"/>
        <v/>
      </c>
      <c r="K105" s="11"/>
      <c r="L105" s="11" t="str">
        <f t="shared" si="15"/>
        <v/>
      </c>
      <c r="M105" s="20"/>
      <c r="N105" s="6" t="str">
        <f>IF(B105&lt;&gt;"",IF(AND(I105&gt;0,R105&gt;0),(K105+J105-I105)*VLOOKUP(M105,Segédlet!$I$5:$J$12,2,0),(K105+J105)*VLOOKUP(M105,Segédlet!$I$5:$J$12,2,0)),"")</f>
        <v/>
      </c>
      <c r="O105" s="6" t="str">
        <f>IF(B105&lt;&gt;"",IF(G105&lt;=14,G105*J105*VLOOKUP(C105,Segédlet!$C$5:$G$37,4,0),J105*14*VLOOKUP(C105,Segédlet!$C$5:$G$37,4,0)+(G105-14)*J105*VLOOKUP(C105,Segédlet!$C$5:$G$37,5,0)),"")</f>
        <v/>
      </c>
      <c r="P105" s="6" t="str">
        <f>IF(B105&lt;&gt;"",IF(G105&lt;=14,G105*K105*VLOOKUP(C105,Segédlet!$C$5:$G$37,4,0),K105*14*VLOOKUP(C105,Segédlet!$C$5:$G$37,4,0)+(G105-14)*K105*VLOOKUP(C105,Segédlet!$C$5:$G$37,5,0)),"")</f>
        <v/>
      </c>
      <c r="Q105" s="12" t="str">
        <f t="shared" si="16"/>
        <v/>
      </c>
      <c r="R105" s="12" t="str">
        <f t="shared" si="17"/>
        <v/>
      </c>
      <c r="S105" s="22" t="str">
        <f>IF(B105&lt;&gt;"",SUM(N105:R105),"")</f>
        <v/>
      </c>
    </row>
    <row r="106" spans="1:19" x14ac:dyDescent="0.2">
      <c r="A106" s="57" t="str">
        <f t="shared" si="18"/>
        <v xml:space="preserve"> </v>
      </c>
      <c r="B106" s="10"/>
      <c r="C106" s="18"/>
      <c r="D106" s="21" t="str">
        <f>IF(C106&lt;&gt;"",INDEX(Segédlet!$B$5:$B$37,MATCH(C106,Segédlet!$C$5:$C$37,0)),"")</f>
        <v/>
      </c>
      <c r="E106" s="19"/>
      <c r="F106" s="8"/>
      <c r="G106" s="5" t="str">
        <f t="shared" si="10"/>
        <v/>
      </c>
      <c r="H106" s="8" t="str">
        <f t="shared" si="11"/>
        <v/>
      </c>
      <c r="I106" s="8" t="str">
        <f t="shared" si="12"/>
        <v/>
      </c>
      <c r="J106" s="8" t="str">
        <f t="shared" si="14"/>
        <v/>
      </c>
      <c r="K106" s="11"/>
      <c r="L106" s="11" t="str">
        <f t="shared" si="15"/>
        <v/>
      </c>
      <c r="M106" s="20"/>
      <c r="N106" s="6" t="str">
        <f>IF(B106&lt;&gt;"",IF(AND(I106&gt;0,R106&gt;0),(K106+J106-I106)*VLOOKUP(M106,Segédlet!$I$5:$J$12,2,0),(K106+J106)*VLOOKUP(M106,Segédlet!$I$5:$J$12,2,0)),"")</f>
        <v/>
      </c>
      <c r="O106" s="6" t="str">
        <f>IF(B106&lt;&gt;"",IF(G106&lt;=14,G106*J106*VLOOKUP(C106,Segédlet!$C$5:$G$37,4,0),J106*14*VLOOKUP(C106,Segédlet!$C$5:$G$37,4,0)+(G106-14)*J106*VLOOKUP(C106,Segédlet!$C$5:$G$37,5,0)),"")</f>
        <v/>
      </c>
      <c r="P106" s="6" t="str">
        <f>IF(B106&lt;&gt;"",IF(G106&lt;=14,G106*K106*VLOOKUP(C106,Segédlet!$C$5:$G$37,4,0),K106*14*VLOOKUP(C106,Segédlet!$C$5:$G$37,4,0)+(G106-14)*K106*VLOOKUP(C106,Segédlet!$C$5:$G$37,5,0)),"")</f>
        <v/>
      </c>
      <c r="Q106" s="12" t="str">
        <f t="shared" si="16"/>
        <v/>
      </c>
      <c r="R106" s="12" t="str">
        <f t="shared" si="17"/>
        <v/>
      </c>
      <c r="S106" s="22" t="str">
        <f>IF(B106&lt;&gt;"",SUM(N106:R106),"")</f>
        <v/>
      </c>
    </row>
  </sheetData>
  <sheetProtection algorithmName="SHA-512" hashValue="HrrEHZgELsXCE0KPeBmcRQIcsEo+s3M9W1SwXaMK5k6TTX7HzpOWGxof61e9+XxpaznHR6c2z/HkBwY+Pc9rJg==" saltValue="LYtuALPDJ4+L/7dGmiJ5Rw==" spinCount="100000" sheet="1" objects="1" scenarios="1"/>
  <mergeCells count="3">
    <mergeCell ref="A1:R1"/>
    <mergeCell ref="A2:D4"/>
    <mergeCell ref="E2:P4"/>
  </mergeCells>
  <conditionalFormatting sqref="S1:XFD1 A1:A2 A6:A106 E2:XFD4 A5:XFD5 A107:XFD1048576 S6:XFD106 J6:P106">
    <cfRule type="notContainsBlanks" dxfId="15" priority="15">
      <formula>LEN(TRIM(A1))&gt;0</formula>
    </cfRule>
  </conditionalFormatting>
  <conditionalFormatting sqref="B6:H106">
    <cfRule type="notContainsBlanks" dxfId="14" priority="10">
      <formula>LEN(TRIM(B6))&gt;0</formula>
    </cfRule>
  </conditionalFormatting>
  <conditionalFormatting sqref="H7:H106">
    <cfRule type="expression" dxfId="13" priority="9">
      <formula>AND(H7&lt;&gt;"",H7&gt;0)</formula>
    </cfRule>
  </conditionalFormatting>
  <conditionalFormatting sqref="I6:I106">
    <cfRule type="notContainsBlanks" dxfId="12" priority="7">
      <formula>LEN(TRIM(I6))&gt;0</formula>
    </cfRule>
  </conditionalFormatting>
  <conditionalFormatting sqref="I7:I106">
    <cfRule type="expression" dxfId="11" priority="6">
      <formula>AND(I7&lt;&gt;"",I7&gt;0)</formula>
    </cfRule>
  </conditionalFormatting>
  <conditionalFormatting sqref="Q6:R106">
    <cfRule type="notContainsBlanks" dxfId="10" priority="3">
      <formula>LEN(TRIM(Q6))&gt;0</formula>
    </cfRule>
  </conditionalFormatting>
  <conditionalFormatting sqref="Q106">
    <cfRule type="expression" dxfId="9" priority="2">
      <formula>AND(N106&lt;&gt;"",N106&gt;0)</formula>
    </cfRule>
  </conditionalFormatting>
  <conditionalFormatting sqref="R106">
    <cfRule type="expression" dxfId="8" priority="1">
      <formula>AND(O106&lt;&gt;"",O106&gt;0)</formula>
    </cfRule>
  </conditionalFormatting>
  <conditionalFormatting sqref="R7:R106">
    <cfRule type="expression" dxfId="7" priority="4">
      <formula>AND(I7&lt;&gt;"",I7&gt;0)</formula>
    </cfRule>
  </conditionalFormatting>
  <conditionalFormatting sqref="Q7:Q106">
    <cfRule type="expression" dxfId="6" priority="5">
      <formula>AND(H7&lt;&gt;"",H7&gt;0)</formula>
    </cfRule>
  </conditionalFormatting>
  <dataValidations count="9">
    <dataValidation type="whole" operator="greaterThanOrEqual" showInputMessage="1" showErrorMessage="1" error="Kérem, ide nem negatív egész számot írjon be!" prompt="Akik más forrásból kapnak utazási, egyéni támogatást és kurzusdíjat! Az intézményük szervezési támogatást kaphat ezekhez a résztvevőkhöz!" sqref="L7:L106">
      <formula1>0</formula1>
    </dataValidation>
    <dataValidation type="custom" showInputMessage="1" showErrorMessage="1" error="Kérem, 0-nál nagyobb egész számot adjon meg! A beírt számnak nagyobbnak, v. egyenlőnek kell lennie a Spec.igényű/Rendkívüli támogatást kérő résztvevők számánál, valamint nem lehet kisebb a kísérő személyek számánál!" prompt="Kérem, 0-nál nagyobb egész számot adjon meg! _x000a_A beírt számnak nagyobbnak, vagy egyenlőnek kell lennie a Spec.igényű/Rendkívüli támogatást kérő résztvevők számánál, valamint nem lehet kisebb a kísérő személyek számánál!" sqref="K7:K106">
      <formula1>AND(K7&gt;0,H7&lt;=K7,I7&lt;=K7,J7&lt;=K7)</formula1>
    </dataValidation>
    <dataValidation type="custom" showInputMessage="1" showErrorMessage="1" error="Kérem, olyan egész számot adjon meg, ami nem több, mint a Résztvevők száma összesen!_x000a_Amennyiben a Spec.igényű résztvevők száma 0, nem igényelhető 'Speciális támogatás'!" prompt="Nem lehet több, mint a &quot;Résztvevők száma összesen&quot;!_x000a_Kérem, ebbe a mezőbe kizárólag nullát, vagy annál nagyobb egész számot írjon be!" sqref="H7:H106">
      <formula1>IF(R7&gt;0,H7&gt;0,H7&lt;=L7)</formula1>
    </dataValidation>
    <dataValidation type="custom" showInputMessage="1" showErrorMessage="1" error="Kérem, olyan egész számot adjon meg, ami nem nagyobb, mint a Résztvevők száma összesen+ a 'kísérő személyek' száma!_x000a_Amennyiben a Rendkívüli támogatást igénylő résztvevők száma 0, nem igényelhető 'Rendkívüli támogatás'!" prompt="Nem lehet több, mint a &quot;Résztvevők száma összesen&quot;+ a 'Kísérő személyek száma!_x000a_Kérem, ebbe a mezőbe kizárólag nullát, vagy annál nagyobb egész számot írjon be!" sqref="I7:I106">
      <formula1>IF(R7&gt;0,I7&gt;0,I7&lt;=(J7+K7))</formula1>
    </dataValidation>
    <dataValidation type="whole" showInputMessage="1" showErrorMessage="1" error="Kérem, 2 és 60 közötti egész számot írjon ide!" prompt="min. 2, max. 60 nap" sqref="E7:E106">
      <formula1>2</formula1>
      <formula2>60</formula2>
    </dataValidation>
    <dataValidation type="whole" showInputMessage="1" showErrorMessage="1" error="Kérem, 0 és 2 közötti egész számot adjon meg!" prompt="max. 2 nap" sqref="F7:F106">
      <formula1>0</formula1>
      <formula2>2</formula2>
    </dataValidation>
    <dataValidation type="whole" showInputMessage="1" showErrorMessage="1" error="Kísérő személyek száma 0, vagy annál több egész szám lehet, de nem lehet több, mint a 'Résztvevők száma összesen'!" prompt="Nem lehet több, mint a 'Résztvevők száma összesen'!_x000a_Kérem, ebbe a mezőbe kizárólag nullát, vagy annál nagyobb egész számot írjon be!" sqref="J7:J106">
      <formula1>0</formula1>
      <formula2>K7</formula2>
    </dataValidation>
    <dataValidation type="custom" operator="greaterThanOrEqual" showInputMessage="1" showErrorMessage="1" error="Ha a speciális igényű résztvevők száma 0, akkor a támogatás összege nem lehet több, mint 0!" sqref="Q7:Q106">
      <formula1>IF(H7=0,Q7=0,Q7&gt;0)</formula1>
    </dataValidation>
    <dataValidation type="custom" operator="greaterThanOrEqual" showInputMessage="1" showErrorMessage="1" error="Ha a rendkívüli támogatást igénylő résztvevők (magas utazási költség) száma 0, akkor a támogatás összege nem lehet több, mint 0!" prompt="Kérem, az adott mobilitás(ok)hoz tartozó teljes utazási támogatást itt adja meg! _x000a_Magas utazási költség esetén igényelhető támogatási összeg, amennyiben az_x000a_adható utazási támogatás (átalány) nem fedezi az utazás költségeit!" sqref="R7:R106">
      <formula1>IF(I7=0,R7=0,R7&gt;0)</formula1>
    </dataValidation>
  </dataValidations>
  <hyperlinks>
    <hyperlink ref="M6" r:id="rId1"/>
  </hyperlinks>
  <printOptions horizontalCentered="1"/>
  <pageMargins left="0.59055118110236227" right="0.59055118110236227" top="0.59055118110236227" bottom="0.59055118110236227" header="0" footer="0"/>
  <pageSetup paperSize="9" scale="54" fitToHeight="0" orientation="landscape" horizontalDpi="4294967293" verticalDpi="0" r:id="rId2"/>
  <ignoredErrors>
    <ignoredError sqref="L7:L106 E2 Q7:R7 H7:H106 I7:I106 J7:J106 Q8:R106" unlocked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" id="{5D9B1059-68DE-4064-A4B7-974105A63A46}">
            <xm:f>AND($B7=Segédlet!$L$6,$E7&gt;=19)</xm:f>
            <x14:dxf>
              <fill>
                <patternFill>
                  <bgColor rgb="FFFF9966"/>
                </patternFill>
              </fill>
            </x14:dxf>
          </x14:cfRule>
          <xm:sqref>C7:C106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Kérem, a legördülő listából válassza ki a mobilitáshoz tartozó km sávot!">
          <x14:formula1>
            <xm:f>Segédlet!$I$5:$I$12</xm:f>
          </x14:formula1>
          <xm:sqref>M7:M106</xm:sqref>
        </x14:dataValidation>
        <x14:dataValidation type="list" showInputMessage="1" showErrorMessage="1" error="Kérem, a listából válasszon tevékenységet!" prompt="Kérem, a legördülő listából válassza ki a mobilitáshoz kapcsolódó tevékenységet! (cella jobb oldala lent - kis négyzetben lévő fekete nyílra kattintva)">
          <x14:formula1>
            <xm:f>Segédlet!$L$8:$L$9</xm:f>
          </x14:formula1>
          <xm:sqref>B7:B106</xm:sqref>
        </x14:dataValidation>
        <x14:dataValidation type="list" showInputMessage="1" showErrorMessage="1" errorTitle="Hiba a célországnál" error="Kérem, válasszon a listából!" prompt="Kérem, válassza ki a listából a mobilitáshoz tartozó célországot!_x000a_(cella jobb oldala lent - kis négyzetben lévő fekete nyílra kattintva)">
          <x14:formula1>
            <xm:f>Segédlet!$C$5:$C$37</xm:f>
          </x14:formula1>
          <xm:sqref>C7:C106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>
    <tabColor rgb="FFFF0000"/>
    <pageSetUpPr fitToPage="1"/>
  </sheetPr>
  <dimension ref="B1:Z39"/>
  <sheetViews>
    <sheetView topLeftCell="A4" zoomScale="60" zoomScaleNormal="60" workbookViewId="0">
      <selection activeCell="F23" sqref="F23"/>
    </sheetView>
  </sheetViews>
  <sheetFormatPr defaultColWidth="8.85546875" defaultRowHeight="15" x14ac:dyDescent="0.25"/>
  <cols>
    <col min="1" max="1" width="8.85546875" style="15"/>
    <col min="2" max="2" width="25.85546875" style="15" customWidth="1"/>
    <col min="3" max="7" width="17.5703125" style="15" customWidth="1"/>
    <col min="8" max="9" width="17.5703125" style="17" customWidth="1"/>
    <col min="10" max="12" width="17.5703125" style="15" customWidth="1"/>
    <col min="13" max="13" width="15.28515625" style="15" customWidth="1"/>
    <col min="14" max="14" width="16.5703125" style="15" customWidth="1"/>
    <col min="15" max="15" width="19.7109375" style="15" customWidth="1"/>
    <col min="16" max="16" width="15.5703125" style="15" customWidth="1"/>
    <col min="17" max="17" width="19.140625" style="15" customWidth="1"/>
    <col min="18" max="18" width="14" style="15" customWidth="1"/>
    <col min="19" max="19" width="13.7109375" style="15" customWidth="1"/>
    <col min="20" max="21" width="14" style="15" customWidth="1"/>
    <col min="22" max="22" width="14.5703125" style="15" customWidth="1"/>
    <col min="23" max="24" width="14.85546875" style="15" customWidth="1"/>
    <col min="25" max="25" width="12.28515625" style="15" customWidth="1"/>
    <col min="26" max="26" width="13.85546875" style="15" customWidth="1"/>
    <col min="27" max="27" width="15" style="15" customWidth="1"/>
    <col min="28" max="28" width="12.85546875" style="15" customWidth="1"/>
    <col min="29" max="29" width="15.28515625" style="15" customWidth="1"/>
    <col min="30" max="30" width="15.5703125" style="15" customWidth="1"/>
    <col min="31" max="31" width="13.85546875" style="15" customWidth="1"/>
    <col min="32" max="43" width="8.85546875" style="15"/>
    <col min="44" max="44" width="12.85546875" style="15" bestFit="1" customWidth="1"/>
    <col min="45" max="47" width="18.5703125" style="15" bestFit="1" customWidth="1"/>
    <col min="48" max="48" width="20.42578125" style="15" bestFit="1" customWidth="1"/>
    <col min="49" max="49" width="12.5703125" style="15" bestFit="1" customWidth="1"/>
    <col min="50" max="16384" width="8.85546875" style="15"/>
  </cols>
  <sheetData>
    <row r="1" spans="2:24" x14ac:dyDescent="0.25">
      <c r="G1" s="13"/>
      <c r="H1" s="14"/>
      <c r="I1" s="14"/>
      <c r="J1" s="13"/>
      <c r="K1" s="13"/>
      <c r="L1" s="13"/>
    </row>
    <row r="2" spans="2:24" ht="14.45" customHeight="1" x14ac:dyDescent="0.25">
      <c r="B2" s="159" t="s">
        <v>57</v>
      </c>
      <c r="C2" s="160"/>
      <c r="D2" s="161"/>
      <c r="E2" s="168" t="str">
        <f>IF('Tanuló kiutazások'!E2&lt;&gt;"",'Tanuló kiutazások'!E2,"")</f>
        <v/>
      </c>
      <c r="F2" s="169"/>
      <c r="G2" s="169"/>
      <c r="H2" s="169"/>
      <c r="I2" s="169"/>
      <c r="J2" s="169"/>
      <c r="K2" s="169"/>
      <c r="L2" s="169"/>
      <c r="M2" s="170"/>
      <c r="R2" s="16"/>
      <c r="S2" s="16"/>
      <c r="T2" s="16"/>
      <c r="U2" s="16"/>
      <c r="V2" s="16"/>
      <c r="W2" s="16"/>
      <c r="X2" s="16"/>
    </row>
    <row r="3" spans="2:24" ht="14.45" customHeight="1" x14ac:dyDescent="0.25">
      <c r="B3" s="162"/>
      <c r="C3" s="163"/>
      <c r="D3" s="164"/>
      <c r="E3" s="171"/>
      <c r="F3" s="172"/>
      <c r="G3" s="172"/>
      <c r="H3" s="172"/>
      <c r="I3" s="172"/>
      <c r="J3" s="172"/>
      <c r="K3" s="172"/>
      <c r="L3" s="172"/>
      <c r="M3" s="173"/>
      <c r="R3" s="16"/>
      <c r="S3" s="16"/>
      <c r="T3" s="16"/>
      <c r="U3" s="16"/>
      <c r="V3" s="16"/>
      <c r="W3" s="16"/>
      <c r="X3" s="16"/>
    </row>
    <row r="4" spans="2:24" ht="14.45" customHeight="1" x14ac:dyDescent="0.25">
      <c r="B4" s="165"/>
      <c r="C4" s="166"/>
      <c r="D4" s="167"/>
      <c r="E4" s="174"/>
      <c r="F4" s="175"/>
      <c r="G4" s="175"/>
      <c r="H4" s="175"/>
      <c r="I4" s="175"/>
      <c r="J4" s="175"/>
      <c r="K4" s="175"/>
      <c r="L4" s="175"/>
      <c r="M4" s="176"/>
      <c r="R4" s="16"/>
      <c r="S4" s="16"/>
      <c r="T4" s="16"/>
      <c r="U4" s="16"/>
      <c r="V4" s="16"/>
      <c r="W4" s="16"/>
      <c r="X4" s="16"/>
    </row>
    <row r="5" spans="2:24" ht="18" customHeight="1" thickBot="1" x14ac:dyDescent="0.3"/>
    <row r="6" spans="2:24" ht="33" customHeight="1" x14ac:dyDescent="0.25">
      <c r="B6" s="154" t="s">
        <v>77</v>
      </c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6"/>
    </row>
    <row r="7" spans="2:24" ht="100.5" customHeight="1" x14ac:dyDescent="0.3">
      <c r="B7" s="60"/>
      <c r="C7" s="157" t="s">
        <v>87</v>
      </c>
      <c r="D7" s="178"/>
      <c r="E7" s="177" t="s">
        <v>88</v>
      </c>
      <c r="F7" s="178"/>
      <c r="G7" s="179" t="s">
        <v>89</v>
      </c>
      <c r="H7" s="178"/>
      <c r="I7" s="177" t="s">
        <v>90</v>
      </c>
      <c r="J7" s="178"/>
      <c r="K7" s="177" t="s">
        <v>91</v>
      </c>
      <c r="L7" s="190"/>
      <c r="M7" s="177" t="s">
        <v>79</v>
      </c>
      <c r="N7" s="157" t="s">
        <v>80</v>
      </c>
      <c r="O7" s="158" t="s">
        <v>81</v>
      </c>
    </row>
    <row r="8" spans="2:24" ht="40.5" customHeight="1" x14ac:dyDescent="0.3">
      <c r="B8" s="61"/>
      <c r="C8" s="83" t="s">
        <v>82</v>
      </c>
      <c r="D8" s="34" t="s">
        <v>83</v>
      </c>
      <c r="E8" s="33" t="s">
        <v>82</v>
      </c>
      <c r="F8" s="34" t="s">
        <v>83</v>
      </c>
      <c r="G8" s="33" t="s">
        <v>82</v>
      </c>
      <c r="H8" s="34" t="s">
        <v>83</v>
      </c>
      <c r="I8" s="33" t="s">
        <v>82</v>
      </c>
      <c r="J8" s="34" t="s">
        <v>83</v>
      </c>
      <c r="K8" s="33" t="s">
        <v>82</v>
      </c>
      <c r="L8" s="94" t="s">
        <v>83</v>
      </c>
      <c r="M8" s="177"/>
      <c r="N8" s="157"/>
      <c r="O8" s="158"/>
    </row>
    <row r="9" spans="2:24" ht="35.450000000000003" customHeight="1" x14ac:dyDescent="0.25">
      <c r="B9" s="62" t="s">
        <v>53</v>
      </c>
      <c r="C9" s="45">
        <f>SUMIF('Tanuló kiutazások'!B7:B106,Segédlet!L5,'Tanuló kiutazások'!Q7:Q106)</f>
        <v>0</v>
      </c>
      <c r="D9" s="99">
        <f>SUMIF('Tanuló kiutazások'!B7:B106,Segédlet!L5,'Tanuló kiutazások'!N7:N106)+SUMIF('Tanuló kiutazások'!B7:B106,Segédlet!L5,'Tanuló kiutazások'!K7:K106)-SUMIF('Tanuló kiutazások'!B7:B106,Segédlet!L5,'Tanuló kiutazások'!I7:I106)</f>
        <v>0</v>
      </c>
      <c r="E9" s="92">
        <f>SUMIF('Tanuló kiutazások'!B7:B106,Segédlet!L6,'Tanuló kiutazások'!Q7:Q106)</f>
        <v>0</v>
      </c>
      <c r="F9" s="99">
        <f>SUMIF('Tanuló kiutazások'!B7:B106,Segédlet!L6,'Tanuló kiutazások'!N7:N106)+SUMIF('Tanuló kiutazások'!B7:B106,Segédlet!L6,'Tanuló kiutazások'!K7:K106)-SUMIF('Tanuló kiutazások'!B7:B106,Segédlet!L6,'Tanuló kiutazások'!I7:I106)</f>
        <v>0</v>
      </c>
      <c r="G9" s="92">
        <f>SUM(Segédlet!R3:R102)</f>
        <v>0</v>
      </c>
      <c r="H9" s="99">
        <f>SUM(Segédlet!Q3:Q102)+SUM(Segédlet!P3:P102)-SUM('Tanuló kiutazások'!AC7:AC106)</f>
        <v>0</v>
      </c>
      <c r="I9" s="92">
        <f>SUMIF('Munkatárs kiutazások'!B7:B106,Segédlet!L8,'Munkatárs kiutazások'!N7:N106)</f>
        <v>0</v>
      </c>
      <c r="J9" s="99">
        <f>SUMIF('Munkatárs kiutazások'!B7:B106,Segédlet!L8,'Munkatárs kiutazások'!K7:K106)+SUMIF('Munkatárs kiutazások'!B7:B106,Segédlet!L8,'Munkatárs kiutazások'!J7:J106)-SUMIF('Munkatárs kiutazások'!B7:B106,Segédlet!L8,'Munkatárs kiutazások'!I7:I106)</f>
        <v>0</v>
      </c>
      <c r="K9" s="92">
        <f>SUMIF('Munkatárs kiutazások'!B7:B106,Segédlet!L9,'Munkatárs kiutazások'!N7:N106)</f>
        <v>0</v>
      </c>
      <c r="L9" s="95">
        <f>SUMIF('Munkatárs kiutazások'!B7:B106,Segédlet!L9,'Munkatárs kiutazások'!K7:K106)+SUMIF('Munkatárs kiutazások'!B7:B106,Segédlet!L9,'Munkatárs kiutazások'!J7:J106)-SUMIF('Munkatárs kiutazások'!B7:B106,Segédlet!L9,'Munkatárs kiutazások'!I7:I106)</f>
        <v>0</v>
      </c>
      <c r="M9" s="88"/>
      <c r="N9" s="47"/>
      <c r="O9" s="25">
        <f>SUM('Tanuló kiutazások'!Q7:Q106)+SUM('Munkatárs kiutazások'!N7:N106)+G9</f>
        <v>0</v>
      </c>
    </row>
    <row r="10" spans="2:24" ht="33" customHeight="1" x14ac:dyDescent="0.25">
      <c r="B10" s="62" t="s">
        <v>52</v>
      </c>
      <c r="C10" s="45">
        <f>SUMIF('Tanuló kiutazások'!B7:B106,Segédlet!L5,'Tanuló kiutazások'!S7:S106)</f>
        <v>0</v>
      </c>
      <c r="D10" s="99">
        <f>SUMIF('Tanuló kiutazások'!B7:B106,Segédlet!L5,'Tanuló kiutazások'!N7:N106)</f>
        <v>0</v>
      </c>
      <c r="E10" s="92">
        <f>SUMIF('Tanuló kiutazások'!B7:B106,Segédlet!L6,'Tanuló kiutazások'!S7:S106)</f>
        <v>0</v>
      </c>
      <c r="F10" s="99">
        <f>SUMIF('Tanuló kiutazások'!B7:B106,Segédlet!L6,'Tanuló kiutazások'!N7:N106)</f>
        <v>0</v>
      </c>
      <c r="G10" s="92">
        <f>SUM(Segédlet!O3:O102)</f>
        <v>0</v>
      </c>
      <c r="H10" s="99">
        <f>SUM(Segédlet!Q3:Q102)</f>
        <v>0</v>
      </c>
      <c r="I10" s="92">
        <f>SUMIF('Munkatárs kiutazások'!B7:B106,Segédlet!L8,'Munkatárs kiutazások'!P7:P106)</f>
        <v>0</v>
      </c>
      <c r="J10" s="99">
        <f>SUMIF('Munkatárs kiutazások'!B7:B106,Segédlet!L8,'Munkatárs kiutazások'!K7:K106)</f>
        <v>0</v>
      </c>
      <c r="K10" s="92">
        <f>SUMIF('Munkatárs kiutazások'!B7:B106,Segédlet!L9,'Munkatárs kiutazások'!P7:P106)</f>
        <v>0</v>
      </c>
      <c r="L10" s="95">
        <f>SUMIF('Munkatárs kiutazások'!B7:B106,Segédlet!L9,'Munkatárs kiutazások'!K7:K106)</f>
        <v>0</v>
      </c>
      <c r="M10" s="88"/>
      <c r="N10" s="47"/>
      <c r="O10" s="25">
        <f>SUM('Tanuló kiutazások'!S7:S106)+SUM('Munkatárs kiutazások'!P7:P106)+G10</f>
        <v>0</v>
      </c>
    </row>
    <row r="11" spans="2:24" ht="31.9" customHeight="1" x14ac:dyDescent="0.25">
      <c r="B11" s="64" t="s">
        <v>84</v>
      </c>
      <c r="C11" s="45">
        <f>SUMIF('Tanuló kiutazások'!B7:B106,Segédlet!L5,'Tanuló kiutazások'!R7:R106)</f>
        <v>0</v>
      </c>
      <c r="D11" s="99">
        <f>SUMIF('Tanuló kiutazások'!B7:B106,Segédlet!L5,'Tanuló kiutazások'!K7:K106)</f>
        <v>0</v>
      </c>
      <c r="E11" s="92">
        <f>SUMIF('Tanuló kiutazások'!B7:B106,Segédlet!L6,'Tanuló kiutazások'!R7:R106)</f>
        <v>0</v>
      </c>
      <c r="F11" s="99">
        <f>SUMIF('Tanuló kiutazások'!B7:B106,Segédlet!L6,'Tanuló kiutazások'!K7:K106)</f>
        <v>0</v>
      </c>
      <c r="G11" s="92">
        <f>SUM(Segédlet!N3:N102)</f>
        <v>0</v>
      </c>
      <c r="H11" s="99">
        <f>SUM(Segédlet!P3:P102)</f>
        <v>0</v>
      </c>
      <c r="I11" s="92">
        <f>SUMIF('Munkatárs kiutazások'!B7:B106,Segédlet!L8,'Munkatárs kiutazások'!O7:O106)</f>
        <v>0</v>
      </c>
      <c r="J11" s="99">
        <f>SUMIF('Munkatárs kiutazások'!B7:B106,Segédlet!L8,'Munkatárs kiutazások'!J7:J106)</f>
        <v>0</v>
      </c>
      <c r="K11" s="92">
        <f>SUMIF('Munkatárs kiutazások'!B7:B106,Segédlet!L9,'Munkatárs kiutazások'!O7:O106)</f>
        <v>0</v>
      </c>
      <c r="L11" s="95">
        <f>SUMIF('Munkatárs kiutazások'!B7:B106,Segédlet!L9,'Munkatárs kiutazások'!J7:J106)</f>
        <v>0</v>
      </c>
      <c r="M11" s="88"/>
      <c r="N11" s="47"/>
      <c r="O11" s="25">
        <f>SUM('Tanuló kiutazások'!R7:R106)+SUM('Munkatárs kiutazások'!O7:O106)+G11</f>
        <v>0</v>
      </c>
    </row>
    <row r="12" spans="2:24" ht="33" customHeight="1" x14ac:dyDescent="0.25">
      <c r="B12" s="62" t="s">
        <v>54</v>
      </c>
      <c r="C12" s="47"/>
      <c r="D12" s="100"/>
      <c r="E12" s="88"/>
      <c r="F12" s="100"/>
      <c r="G12" s="88"/>
      <c r="H12" s="100"/>
      <c r="I12" s="88"/>
      <c r="J12" s="100"/>
      <c r="K12" s="88"/>
      <c r="L12" s="96"/>
      <c r="M12" s="91">
        <f>SUM('Tanuló kiutazások'!H7:H106)+SUM('Tanuló kiutazások'!AB7:AB106)+SUM('Munkatárs kiutazások'!H7:H106)</f>
        <v>0</v>
      </c>
      <c r="N12" s="47"/>
      <c r="O12" s="25">
        <f>SUM('Tanuló kiutazások'!T7:T106)+SUM('Tanuló kiutazások'!AE7:AE106)+SUM('Munkatárs kiutazások'!Q7:Q106)</f>
        <v>0</v>
      </c>
    </row>
    <row r="13" spans="2:24" ht="34.15" customHeight="1" x14ac:dyDescent="0.25">
      <c r="B13" s="62" t="s">
        <v>119</v>
      </c>
      <c r="C13" s="45">
        <f>SUMIF('Tanuló kiutazások'!B7:B106,Segédlet!L5,'Tanuló kiutazások'!U7:U106)</f>
        <v>0</v>
      </c>
      <c r="D13" s="99">
        <f>SUMIF('Tanuló kiutazások'!B7:B106,Segédlet!L5,'Tanuló kiutazások'!I7:I106)</f>
        <v>0</v>
      </c>
      <c r="E13" s="92">
        <f>SUMIF('Tanuló kiutazások'!B7:B106,Segédlet!L6,'Tanuló kiutazások'!U7:U106)</f>
        <v>0</v>
      </c>
      <c r="F13" s="99">
        <f>SUMIF('Tanuló kiutazások'!B7:B106,Segédlet!L6,'Tanuló kiutazások'!I7:I106)</f>
        <v>0</v>
      </c>
      <c r="G13" s="92">
        <f>SUM('Tanuló kiutazások'!AF7:AF106)</f>
        <v>0</v>
      </c>
      <c r="H13" s="99">
        <f>SUM('Tanuló kiutazások'!AC7:AC106)</f>
        <v>0</v>
      </c>
      <c r="I13" s="92">
        <f>SUMIF('Munkatárs kiutazások'!B7:B106,Segédlet!L8,'Munkatárs kiutazások'!R7:R106)</f>
        <v>0</v>
      </c>
      <c r="J13" s="99">
        <f>SUMIF('Munkatárs kiutazások'!B7:B106,Segédlet!L8,'Munkatárs kiutazások'!I7:I106)</f>
        <v>0</v>
      </c>
      <c r="K13" s="92">
        <f>SUMIF('Munkatárs kiutazások'!B7:B106,Segédlet!L9,'Munkatárs kiutazások'!R7:R106)</f>
        <v>0</v>
      </c>
      <c r="L13" s="95">
        <f>SUMIF('Munkatárs kiutazások'!B7:B106,Segédlet!L9,'Munkatárs kiutazások'!I7:I106)</f>
        <v>0</v>
      </c>
      <c r="M13" s="88"/>
      <c r="N13" s="47"/>
      <c r="O13" s="25">
        <f>SUM('Tanuló kiutazások'!U7:U106)+SUM('Tanuló kiutazások'!AF7:AF106)+SUM('Munkatárs kiutazások'!R7:R106)</f>
        <v>0</v>
      </c>
    </row>
    <row r="14" spans="2:24" ht="38.450000000000003" customHeight="1" x14ac:dyDescent="0.25">
      <c r="B14" s="62" t="s">
        <v>120</v>
      </c>
      <c r="C14" s="45">
        <f>SUMIF('Tanuló kiutazások'!B7:B106,Segédlet!L5,'Tanuló kiutazások'!V7:V106)</f>
        <v>0</v>
      </c>
      <c r="D14" s="99">
        <f>SUMIF('Tanuló kiutazások'!B7:B106,Segédlet!L5,'Tanuló kiutazások'!J7:J106)</f>
        <v>0</v>
      </c>
      <c r="E14" s="45">
        <f>SUMIF('Tanuló kiutazások'!B7:B106,Segédlet!L6,'Tanuló kiutazások'!V7:V106)</f>
        <v>0</v>
      </c>
      <c r="F14" s="99">
        <f>SUMIF('Tanuló kiutazások'!B7:B106,Segédlet!L6,'Tanuló kiutazások'!J7:J106)</f>
        <v>0</v>
      </c>
      <c r="G14" s="88"/>
      <c r="H14" s="100"/>
      <c r="I14" s="88"/>
      <c r="J14" s="100"/>
      <c r="K14" s="88"/>
      <c r="L14" s="96"/>
      <c r="M14" s="88"/>
      <c r="N14" s="47"/>
      <c r="O14" s="25">
        <f>SUM('Tanuló kiutazások'!V7:V106)</f>
        <v>0</v>
      </c>
    </row>
    <row r="15" spans="2:24" ht="25.9" customHeight="1" x14ac:dyDescent="0.25">
      <c r="B15" s="63" t="s">
        <v>121</v>
      </c>
      <c r="C15" s="45">
        <f>SUM('Tanuló kiutazások'!X7:X106)</f>
        <v>0</v>
      </c>
      <c r="D15" s="99">
        <f>SUM('Tanuló kiutazások'!W7:W106)</f>
        <v>0</v>
      </c>
      <c r="E15" s="88"/>
      <c r="F15" s="100"/>
      <c r="G15" s="88"/>
      <c r="H15" s="100"/>
      <c r="I15" s="88"/>
      <c r="J15" s="100"/>
      <c r="K15" s="88"/>
      <c r="L15" s="96"/>
      <c r="M15" s="88"/>
      <c r="N15" s="47"/>
      <c r="O15" s="25">
        <f>SUM('Tanuló kiutazások'!X7:X106)</f>
        <v>0</v>
      </c>
    </row>
    <row r="16" spans="2:24" ht="28.9" customHeight="1" x14ac:dyDescent="0.25">
      <c r="B16" s="62" t="s">
        <v>58</v>
      </c>
      <c r="C16" s="47"/>
      <c r="D16" s="100"/>
      <c r="E16" s="88"/>
      <c r="F16" s="100"/>
      <c r="G16" s="88"/>
      <c r="H16" s="100"/>
      <c r="I16" s="88"/>
      <c r="J16" s="100"/>
      <c r="K16" s="88"/>
      <c r="L16" s="96"/>
      <c r="M16" s="92">
        <f>SUM('Tanuló kiutazások'!N7:N106)+SUM('Munkatárs kiutazások'!K7:K106)</f>
        <v>0</v>
      </c>
      <c r="N16" s="45">
        <f>SUM('Tanuló kiutazások'!O7:O106)+SUM('Munkatárs kiutazások'!L7:L106)</f>
        <v>0</v>
      </c>
      <c r="O16" s="25">
        <f>(M16+N16)*350</f>
        <v>0</v>
      </c>
    </row>
    <row r="17" spans="2:26" ht="40.5" customHeight="1" x14ac:dyDescent="0.25">
      <c r="B17" s="62" t="s">
        <v>78</v>
      </c>
      <c r="C17" s="47"/>
      <c r="D17" s="101">
        <f>SUMIF('Tanuló kiutazások'!B7:B106,Segédlet!L5,'Tanuló kiutazások'!N7:N106)</f>
        <v>0</v>
      </c>
      <c r="E17" s="88"/>
      <c r="F17" s="101">
        <f>SUMIF('Tanuló kiutazások'!B7:B106,Segédlet!L6,'Tanuló kiutazások'!N7:N106)</f>
        <v>0</v>
      </c>
      <c r="G17" s="88"/>
      <c r="H17" s="101">
        <f>COUNTIF('Tanuló kiutazások'!AD7:AD9,'Tanuló kiutazások'!AD7&gt;0)</f>
        <v>0</v>
      </c>
      <c r="I17" s="88"/>
      <c r="J17" s="101">
        <f>SUMIF('Munkatárs kiutazások'!B7:B106,Segédlet!L8,'Munkatárs kiutazások'!K7:K106)</f>
        <v>0</v>
      </c>
      <c r="K17" s="88"/>
      <c r="L17" s="97">
        <f>SUMIF('Munkatárs kiutazások'!B7:B106,Segédlet!L9,'Munkatárs kiutazások'!K7:K106)</f>
        <v>0</v>
      </c>
      <c r="M17" s="88"/>
      <c r="N17" s="47"/>
      <c r="O17" s="104">
        <f>D17+F17+H17+J17+L17</f>
        <v>0</v>
      </c>
    </row>
    <row r="18" spans="2:26" ht="42.6" customHeight="1" thickBot="1" x14ac:dyDescent="0.3">
      <c r="B18" s="89" t="s">
        <v>76</v>
      </c>
      <c r="C18" s="90"/>
      <c r="D18" s="102">
        <f>SUMIF('Tanuló kiutazások'!B7:B106,Segédlet!L5,'Tanuló kiutazások'!O7:O106)</f>
        <v>0</v>
      </c>
      <c r="E18" s="93"/>
      <c r="F18" s="102">
        <f>SUMIF('Tanuló kiutazások'!B7:B106,Segédlet!L6,'Tanuló kiutazások'!O7:O106)</f>
        <v>0</v>
      </c>
      <c r="G18" s="93"/>
      <c r="H18" s="103"/>
      <c r="I18" s="93"/>
      <c r="J18" s="102">
        <f>SUMIF('Munkatárs kiutazások'!B7:B106,Segédlet!L8,'Munkatárs kiutazások'!L7:L106)</f>
        <v>0</v>
      </c>
      <c r="K18" s="93"/>
      <c r="L18" s="98">
        <f>SUMIF('Munkatárs kiutazások'!B7:B106,Segédlet!L9,'Munkatárs kiutazások'!L7:L106)</f>
        <v>0</v>
      </c>
      <c r="M18" s="93"/>
      <c r="N18" s="90"/>
      <c r="O18" s="104">
        <f>D18+F18+J18+L18</f>
        <v>0</v>
      </c>
    </row>
    <row r="19" spans="2:26" ht="24" customHeight="1" thickBot="1" x14ac:dyDescent="0.3">
      <c r="B19" s="84" t="s">
        <v>59</v>
      </c>
      <c r="C19" s="85">
        <f>SUM(C9:C15)</f>
        <v>0</v>
      </c>
      <c r="D19" s="86">
        <f>D17+D18</f>
        <v>0</v>
      </c>
      <c r="E19" s="85">
        <f>SUM(E9:E14)</f>
        <v>0</v>
      </c>
      <c r="F19" s="86">
        <f>F18+F17</f>
        <v>0</v>
      </c>
      <c r="G19" s="85">
        <f>SUM(G9:G13)</f>
        <v>0</v>
      </c>
      <c r="H19" s="86">
        <f>H17</f>
        <v>0</v>
      </c>
      <c r="I19" s="85">
        <f>SUM(I9:I13)</f>
        <v>0</v>
      </c>
      <c r="J19" s="86">
        <f>SUM(J17:J18)</f>
        <v>0</v>
      </c>
      <c r="K19" s="85">
        <f>SUM(K9:K13)</f>
        <v>0</v>
      </c>
      <c r="L19" s="86">
        <f>SUM(L17:L18)</f>
        <v>0</v>
      </c>
      <c r="M19" s="86">
        <f>M16+N16</f>
        <v>0</v>
      </c>
      <c r="N19" s="86">
        <f>N16</f>
        <v>0</v>
      </c>
      <c r="O19" s="87">
        <f>SUM(O9:O16)</f>
        <v>0</v>
      </c>
    </row>
    <row r="20" spans="2:26" ht="34.5" customHeight="1" thickBot="1" x14ac:dyDescent="0.3"/>
    <row r="21" spans="2:26" ht="40.15" customHeight="1" thickTop="1" x14ac:dyDescent="0.25">
      <c r="B21" s="191" t="s">
        <v>113</v>
      </c>
      <c r="C21" s="192"/>
      <c r="D21" s="192"/>
      <c r="E21" s="192"/>
      <c r="F21" s="192"/>
      <c r="G21" s="192"/>
      <c r="H21" s="192"/>
      <c r="I21" s="192"/>
      <c r="J21" s="192"/>
      <c r="K21" s="192"/>
      <c r="L21" s="192"/>
      <c r="M21" s="192"/>
      <c r="N21" s="192"/>
      <c r="O21" s="192"/>
      <c r="P21" s="192"/>
      <c r="Q21" s="192"/>
      <c r="R21" s="192"/>
      <c r="S21" s="192"/>
      <c r="T21" s="192"/>
      <c r="U21" s="192"/>
      <c r="V21" s="192"/>
      <c r="W21" s="192"/>
      <c r="X21" s="192"/>
      <c r="Y21" s="192"/>
      <c r="Z21" s="193"/>
    </row>
    <row r="22" spans="2:26" ht="52.9" customHeight="1" x14ac:dyDescent="0.25">
      <c r="B22" s="195"/>
      <c r="C22" s="182" t="s">
        <v>87</v>
      </c>
      <c r="D22" s="183"/>
      <c r="E22" s="183"/>
      <c r="F22" s="183"/>
      <c r="G22" s="183"/>
      <c r="H22" s="183"/>
      <c r="I22" s="183"/>
      <c r="J22" s="184"/>
      <c r="K22" s="185" t="s">
        <v>88</v>
      </c>
      <c r="L22" s="183"/>
      <c r="M22" s="183"/>
      <c r="N22" s="183"/>
      <c r="O22" s="183"/>
      <c r="P22" s="183"/>
      <c r="Q22" s="183"/>
      <c r="R22" s="184"/>
      <c r="S22" s="185" t="s">
        <v>89</v>
      </c>
      <c r="T22" s="183"/>
      <c r="U22" s="183"/>
      <c r="V22" s="183"/>
      <c r="W22" s="183"/>
      <c r="X22" s="183"/>
      <c r="Y22" s="183"/>
      <c r="Z22" s="194"/>
    </row>
    <row r="23" spans="2:26" s="17" customFormat="1" ht="103.5" x14ac:dyDescent="0.25">
      <c r="B23" s="196"/>
      <c r="C23" s="83" t="s">
        <v>69</v>
      </c>
      <c r="D23" s="83" t="s">
        <v>66</v>
      </c>
      <c r="E23" s="83" t="s">
        <v>67</v>
      </c>
      <c r="F23" s="34" t="s">
        <v>68</v>
      </c>
      <c r="G23" s="74" t="s">
        <v>70</v>
      </c>
      <c r="H23" s="75" t="s">
        <v>71</v>
      </c>
      <c r="I23" s="75" t="s">
        <v>72</v>
      </c>
      <c r="J23" s="76" t="s">
        <v>73</v>
      </c>
      <c r="K23" s="33" t="s">
        <v>69</v>
      </c>
      <c r="L23" s="83" t="s">
        <v>66</v>
      </c>
      <c r="M23" s="83" t="s">
        <v>67</v>
      </c>
      <c r="N23" s="34" t="s">
        <v>68</v>
      </c>
      <c r="O23" s="74" t="s">
        <v>70</v>
      </c>
      <c r="P23" s="75" t="s">
        <v>71</v>
      </c>
      <c r="Q23" s="75" t="s">
        <v>72</v>
      </c>
      <c r="R23" s="76" t="s">
        <v>73</v>
      </c>
      <c r="S23" s="33" t="s">
        <v>69</v>
      </c>
      <c r="T23" s="83" t="s">
        <v>66</v>
      </c>
      <c r="U23" s="83" t="s">
        <v>67</v>
      </c>
      <c r="V23" s="34" t="s">
        <v>68</v>
      </c>
      <c r="W23" s="74" t="s">
        <v>70</v>
      </c>
      <c r="X23" s="75" t="s">
        <v>71</v>
      </c>
      <c r="Y23" s="75" t="s">
        <v>72</v>
      </c>
      <c r="Z23" s="77" t="s">
        <v>73</v>
      </c>
    </row>
    <row r="24" spans="2:26" ht="31.15" customHeight="1" x14ac:dyDescent="0.25">
      <c r="B24" s="71" t="s">
        <v>60</v>
      </c>
      <c r="C24" s="26">
        <f>SUMIFS('Tanuló kiutazások'!N7:N106,'Tanuló kiutazások'!B7:B106,Segédlet!L5,'Tanuló kiutazások'!D7:D106,B24)</f>
        <v>0</v>
      </c>
      <c r="D24" s="26">
        <f>SUMIFS(Segédlet!U3:U102,'Tanuló kiutazások'!B7:B106,Segédlet!L5,'Tanuló kiutazások'!D7:D106,B24)</f>
        <v>0</v>
      </c>
      <c r="E24" s="24">
        <f>ROUNDDOWN(IF(C24=0,0,D24/C24),1)</f>
        <v>0</v>
      </c>
      <c r="F24" s="36">
        <f>SUMIFS('Tanuló kiutazások'!S7:S106,'Tanuló kiutazások'!B7:B106,Segédlet!L5,'Tanuló kiutazások'!D7:D106,B24)</f>
        <v>0</v>
      </c>
      <c r="G24" s="26">
        <f>SUMIFS('Tanuló kiutazások'!K7:K106,'Tanuló kiutazások'!B7:B106,Segédlet!L5,'Tanuló kiutazások'!D7:D106,B24)</f>
        <v>0</v>
      </c>
      <c r="H24" s="26">
        <f>SUMIFS(Segédlet!V3:V102,'Tanuló kiutazások'!B7:B106,Segédlet!L5,'Tanuló kiutazások'!D7:D106,B24)</f>
        <v>0</v>
      </c>
      <c r="I24" s="24">
        <f>ROUNDDOWN(IF(G24=0,0,H24/G24),1)</f>
        <v>0</v>
      </c>
      <c r="J24" s="28">
        <f>SUMIFS('Tanuló kiutazások'!R7:R106,'Tanuló kiutazások'!B7:B106,Segédlet!L5,'Tanuló kiutazások'!D7:D106,B24)</f>
        <v>0</v>
      </c>
      <c r="K24" s="26">
        <f>SUMIFS('Tanuló kiutazások'!N7:N106,'Tanuló kiutazások'!B7:B106,Segédlet!L6,'Tanuló kiutazások'!D7:D106,B24)</f>
        <v>0</v>
      </c>
      <c r="L24" s="26">
        <f>SUMIFS(Segédlet!U3:U102,'Tanuló kiutazások'!B7:B106,Segédlet!L6,'Tanuló kiutazások'!D7:D106,B24)</f>
        <v>0</v>
      </c>
      <c r="M24" s="24">
        <f>ROUNDDOWN(IF(K24=0,0,L24/K24),1)</f>
        <v>0</v>
      </c>
      <c r="N24" s="36">
        <f>SUMIFS('Tanuló kiutazások'!S7:S106,'Tanuló kiutazások'!B7:B106,Segédlet!L6,'Tanuló kiutazások'!D7:D106,B24)</f>
        <v>0</v>
      </c>
      <c r="O24" s="26">
        <f>SUMIFS('Tanuló kiutazások'!K7:K106,'Tanuló kiutazások'!B7:B106,Segédlet!L6,'Tanuló kiutazások'!D7:D106,B24)</f>
        <v>0</v>
      </c>
      <c r="P24" s="26">
        <f>SUMIFS(Segédlet!V3:V102,'Tanuló kiutazások'!B7:B106,Segédlet!L6,'Tanuló kiutazások'!D7:D106,B24)</f>
        <v>0</v>
      </c>
      <c r="Q24" s="24">
        <f>ROUNDDOWN(IF(O24=0,0,P24/O24),1)</f>
        <v>0</v>
      </c>
      <c r="R24" s="28">
        <f>SUMIFS('Tanuló kiutazások'!R7:R106,'Tanuló kiutazások'!B7:B106,Segédlet!L6,'Tanuló kiutazások'!D7:D106,B24)</f>
        <v>0</v>
      </c>
      <c r="S24" s="30">
        <f>SUMIF(Segédlet!N3:N102,B24,Segédlet!R3:R102)</f>
        <v>0</v>
      </c>
      <c r="T24" s="26">
        <f>SUMIF(Segédlet!N3:N102,B24,Segédlet!V3:V102)</f>
        <v>0</v>
      </c>
      <c r="U24" s="24">
        <f>ROUNDDOWN(IF(S24=0,0,T24/S24),1)</f>
        <v>0</v>
      </c>
      <c r="V24" s="36">
        <f>SUMIF(Segédlet!N3:N102,B24,Segédlet!P3:P102)+SUMIF(Segédlet!N3:N102,B24,Segédlet!T3:T102)</f>
        <v>0</v>
      </c>
      <c r="W24" s="26">
        <f>SUMIF(Segédlet!N3:N102,B24,Segédlet!Q3:Q102)</f>
        <v>0</v>
      </c>
      <c r="X24" s="26">
        <f>SUMIF(Segédlet!N3:N102,B24,Segédlet!W3:W102)</f>
        <v>0</v>
      </c>
      <c r="Y24" s="24">
        <f>ROUNDDOWN(IF(W24=0,0,X24/W24),1)</f>
        <v>0</v>
      </c>
      <c r="Z24" s="38">
        <f>SUMIF(Segédlet!N3:N102,B24,Segédlet!O3:O102)+SUMIF(Segédlet!N3:N102,B24,Segédlet!U3:U102)</f>
        <v>0</v>
      </c>
    </row>
    <row r="25" spans="2:26" ht="31.15" customHeight="1" x14ac:dyDescent="0.25">
      <c r="B25" s="71" t="s">
        <v>61</v>
      </c>
      <c r="C25" s="26">
        <f>SUMIFS('Tanuló kiutazások'!N7:N106,'Tanuló kiutazások'!B7:B106,Segédlet!L5,'Tanuló kiutazások'!D7:D106,B25)</f>
        <v>0</v>
      </c>
      <c r="D25" s="26">
        <f>SUMIFS(Segédlet!U3:U102,'Tanuló kiutazások'!B7:B106,Segédlet!L5,'Tanuló kiutazások'!D7:D106,B25)</f>
        <v>0</v>
      </c>
      <c r="E25" s="24">
        <f>ROUNDDOWN(IF(C25=0,0,D25/C25),1)</f>
        <v>0</v>
      </c>
      <c r="F25" s="36">
        <f>SUMIFS('Tanuló kiutazások'!S7:S106,'Tanuló kiutazások'!B7:B106,Segédlet!L5,'Tanuló kiutazások'!D7:D106,B25)</f>
        <v>0</v>
      </c>
      <c r="G25" s="26">
        <f>SUMIFS('Tanuló kiutazások'!K7:K106,'Tanuló kiutazások'!B7:B106,Segédlet!L5,'Tanuló kiutazások'!D7:D106,B25)</f>
        <v>0</v>
      </c>
      <c r="H25" s="26">
        <f>SUMIFS(Segédlet!V3:V102,'Tanuló kiutazások'!B7:B106,Segédlet!L5,'Tanuló kiutazások'!D7:D106,B25)</f>
        <v>0</v>
      </c>
      <c r="I25" s="24">
        <f>ROUNDDOWN(IF(G25=0,0,H25/G25),1)</f>
        <v>0</v>
      </c>
      <c r="J25" s="28">
        <f>SUMIFS('Tanuló kiutazások'!R7:R106,'Tanuló kiutazások'!B7:B106,Segédlet!L5,'Tanuló kiutazások'!D7:D106,B25)</f>
        <v>0</v>
      </c>
      <c r="K25" s="26">
        <f>SUMIFS('Tanuló kiutazások'!N7:N106,'Tanuló kiutazások'!B7:B106,Segédlet!L6,'Tanuló kiutazások'!D7:D106,B25)</f>
        <v>0</v>
      </c>
      <c r="L25" s="26">
        <f>SUMIFS(Segédlet!U3:U102,'Tanuló kiutazások'!B7:B106,Segédlet!L6,'Tanuló kiutazások'!D7:D106,B25)</f>
        <v>0</v>
      </c>
      <c r="M25" s="24">
        <f>ROUNDDOWN(IF(K25=0,0,L25/K25),1)</f>
        <v>0</v>
      </c>
      <c r="N25" s="36">
        <f>SUMIFS('Tanuló kiutazások'!S7:S106,'Tanuló kiutazások'!B7:B106,Segédlet!L6,'Tanuló kiutazások'!D7:D106,B25)</f>
        <v>0</v>
      </c>
      <c r="O25" s="26">
        <f>SUMIFS('Tanuló kiutazások'!K7:K106,'Tanuló kiutazások'!B7:B106,Segédlet!L6,'Tanuló kiutazások'!D7:D106,B25)</f>
        <v>0</v>
      </c>
      <c r="P25" s="26">
        <f>SUMIFS(Segédlet!V3:V102,'Tanuló kiutazások'!B7:B106,Segédlet!L6,'Tanuló kiutazások'!D7:D106,B25)</f>
        <v>0</v>
      </c>
      <c r="Q25" s="24">
        <f>ROUNDDOWN(IF(O25=0,0,P25/O25),1)</f>
        <v>0</v>
      </c>
      <c r="R25" s="28">
        <f>SUMIFS('Tanuló kiutazások'!R7:R106,'Tanuló kiutazások'!B7:B106,Segédlet!L6,'Tanuló kiutazások'!D7:D106,B25)</f>
        <v>0</v>
      </c>
      <c r="S25" s="30">
        <f>SUMIF(Segédlet!N3:N102,B25,Segédlet!R3:R102)</f>
        <v>0</v>
      </c>
      <c r="T25" s="26">
        <f>SUMIF(Segédlet!N3:N102,B25,Segédlet!V3:V102)</f>
        <v>0</v>
      </c>
      <c r="U25" s="24">
        <f>ROUNDDOWN(IF(S25=0,0,T25/S25),1)</f>
        <v>0</v>
      </c>
      <c r="V25" s="36">
        <f>SUMIF(Segédlet!N3:N102,B25,Segédlet!P3:P102)+SUMIF(Segédlet!N3:N102,B25,Segédlet!T3:T102)</f>
        <v>0</v>
      </c>
      <c r="W25" s="26">
        <f>SUMIF(Segédlet!N3:N102,B25,Segédlet!Q3:Q102)</f>
        <v>0</v>
      </c>
      <c r="X25" s="26">
        <f>SUMIF(Segédlet!N3:N102,B25,Segédlet!W3:W102)</f>
        <v>0</v>
      </c>
      <c r="Y25" s="24">
        <f>ROUNDDOWN(IF(W25=0,0,X25/W25),1)</f>
        <v>0</v>
      </c>
      <c r="Z25" s="38">
        <f>SUMIF(Segédlet!N3:N102,B25,Segédlet!O3:O102)+SUMIF(Segédlet!N3:N102,B25,Segédlet!U3:U102)</f>
        <v>0</v>
      </c>
    </row>
    <row r="26" spans="2:26" ht="31.15" customHeight="1" thickBot="1" x14ac:dyDescent="0.3">
      <c r="B26" s="72" t="s">
        <v>62</v>
      </c>
      <c r="C26" s="27">
        <f>SUMIFS('Tanuló kiutazások'!N7:N106,'Tanuló kiutazások'!B7:B106,Segédlet!L5,'Tanuló kiutazások'!D7:D106,B26)</f>
        <v>0</v>
      </c>
      <c r="D26" s="27">
        <f>SUMIFS(Segédlet!U3:U102,'Tanuló kiutazások'!B7:B106,Segédlet!L5,'Tanuló kiutazások'!D7:D106,B26)</f>
        <v>0</v>
      </c>
      <c r="E26" s="24">
        <f>ROUNDDOWN(IF(C26=0,0,D26/C26),1)</f>
        <v>0</v>
      </c>
      <c r="F26" s="37">
        <f>SUMIFS('Tanuló kiutazások'!S7:S106,'Tanuló kiutazások'!B7:B106,Segédlet!L5,'Tanuló kiutazások'!D7:D106,B26)</f>
        <v>0</v>
      </c>
      <c r="G26" s="35">
        <f>SUMIFS('Tanuló kiutazások'!K7:K106,'Tanuló kiutazások'!B7:B106,Segédlet!L5,'Tanuló kiutazások'!D7:D106,B26)</f>
        <v>0</v>
      </c>
      <c r="H26" s="27">
        <f>SUMIFS(Segédlet!V3:V102,'Tanuló kiutazások'!B7:B106,Segédlet!L5,'Tanuló kiutazások'!D7:D106,B26)</f>
        <v>0</v>
      </c>
      <c r="I26" s="24">
        <f>ROUNDDOWN(IF(G26=0,0,H26/G26),1)</f>
        <v>0</v>
      </c>
      <c r="J26" s="29">
        <f>SUMIFS('Tanuló kiutazások'!R7:R106,'Tanuló kiutazások'!B7:B106,Segédlet!L5,'Tanuló kiutazások'!D7:D106,B26)</f>
        <v>0</v>
      </c>
      <c r="K26" s="27">
        <f>SUMIFS('Tanuló kiutazások'!N7:N106,'Tanuló kiutazások'!B7:B106,Segédlet!L6,'Tanuló kiutazások'!D7:D106,B26)</f>
        <v>0</v>
      </c>
      <c r="L26" s="27">
        <f>SUMIFS(Segédlet!U3:U102,'Tanuló kiutazások'!B7:B106,Segédlet!L6,'Tanuló kiutazások'!D7:D106,B26)</f>
        <v>0</v>
      </c>
      <c r="M26" s="24">
        <f>ROUNDDOWN(IF(K26=0,0,L26/L26),1)</f>
        <v>0</v>
      </c>
      <c r="N26" s="37">
        <f>SUMIFS('Tanuló kiutazások'!S7:S106,'Tanuló kiutazások'!B7:B106,Segédlet!L6,'Tanuló kiutazások'!D7:D106,B26)</f>
        <v>0</v>
      </c>
      <c r="O26" s="35">
        <f>SUMIFS('Tanuló kiutazások'!K7:K106,'Tanuló kiutazások'!B7:B106,Segédlet!L6,'Tanuló kiutazások'!D7:D106,B26)</f>
        <v>0</v>
      </c>
      <c r="P26" s="27">
        <f>SUMIFS(Segédlet!V3:V102,'Tanuló kiutazások'!B7:B106,Segédlet!L6,'Tanuló kiutazások'!D7:D106,B26)</f>
        <v>0</v>
      </c>
      <c r="Q26" s="24">
        <f>ROUNDDOWN(IF(O26=0,0,P26/O26),1)</f>
        <v>0</v>
      </c>
      <c r="R26" s="29">
        <f>SUMIFS('Tanuló kiutazások'!R7:R106,'Tanuló kiutazások'!B7:B106,Segédlet!L6,'Tanuló kiutazások'!D7:D106,B26)</f>
        <v>0</v>
      </c>
      <c r="S26" s="31">
        <f>SUMIF(Segédlet!N3:N102,B26,Segédlet!R3:R102)</f>
        <v>0</v>
      </c>
      <c r="T26" s="27">
        <f>SUMIF(Segédlet!N3:N102,B26,Segédlet!V3:V102)</f>
        <v>0</v>
      </c>
      <c r="U26" s="24">
        <f>ROUNDDOWN(IF(S26=0,0,T26/S26),1)</f>
        <v>0</v>
      </c>
      <c r="V26" s="37">
        <f>SUMIF(Segédlet!N3:N102,B26,Segédlet!P3:P102)+SUMIF(Segédlet!N3:N102,B26,Segédlet!T3:T102)</f>
        <v>0</v>
      </c>
      <c r="W26" s="35">
        <f>SUMIF(Segédlet!N3:N102,B26,Segédlet!Q3:Q102)</f>
        <v>0</v>
      </c>
      <c r="X26" s="27">
        <f>SUMIF(Segédlet!N3:N102,B26,Segédlet!W3:W102)</f>
        <v>0</v>
      </c>
      <c r="Y26" s="24">
        <f>ROUNDDOWN(IF(W26=0,0,X26/W26),1)</f>
        <v>0</v>
      </c>
      <c r="Z26" s="39">
        <f>SUMIF(Segédlet!N3:N102,B26,Segédlet!O3:O102)+SUMIF(Segédlet!N3:N102,B26,Segédlet!U3:U102)</f>
        <v>0</v>
      </c>
    </row>
    <row r="27" spans="2:26" ht="31.15" customHeight="1" thickBot="1" x14ac:dyDescent="0.3">
      <c r="B27" s="73" t="s">
        <v>65</v>
      </c>
      <c r="C27" s="40">
        <f>SUM(C24:C26)</f>
        <v>0</v>
      </c>
      <c r="D27" s="40">
        <f>SUM(D24:D26)</f>
        <v>0</v>
      </c>
      <c r="E27" s="46"/>
      <c r="F27" s="41">
        <f>SUM(F24:F26)</f>
        <v>0</v>
      </c>
      <c r="G27" s="40">
        <f>SUM(G24:G26)</f>
        <v>0</v>
      </c>
      <c r="H27" s="40">
        <f>SUM(H24:H26)</f>
        <v>0</v>
      </c>
      <c r="I27" s="46"/>
      <c r="J27" s="42">
        <f>SUM(J24:J26)</f>
        <v>0</v>
      </c>
      <c r="K27" s="40">
        <f>SUM(K24:K26)</f>
        <v>0</v>
      </c>
      <c r="L27" s="40">
        <f>SUM(L24:L26)</f>
        <v>0</v>
      </c>
      <c r="M27" s="46"/>
      <c r="N27" s="41">
        <f>SUM(N24:N26)</f>
        <v>0</v>
      </c>
      <c r="O27" s="40">
        <f>SUM(O24:O26)</f>
        <v>0</v>
      </c>
      <c r="P27" s="40">
        <f>SUM(P24:P26)</f>
        <v>0</v>
      </c>
      <c r="Q27" s="46"/>
      <c r="R27" s="42">
        <f>SUM(R24:R26)</f>
        <v>0</v>
      </c>
      <c r="S27" s="43">
        <f>SUM(S24:S26)</f>
        <v>0</v>
      </c>
      <c r="T27" s="40">
        <f>SUM(T24:T26)</f>
        <v>0</v>
      </c>
      <c r="U27" s="46"/>
      <c r="V27" s="41">
        <f>SUM(V24:V26)</f>
        <v>0</v>
      </c>
      <c r="W27" s="40">
        <f>SUM(W24:W26)</f>
        <v>0</v>
      </c>
      <c r="X27" s="40">
        <f>SUM(X24:X26)</f>
        <v>0</v>
      </c>
      <c r="Y27" s="46"/>
      <c r="Z27" s="44">
        <f>SUM(Z24:Z26)</f>
        <v>0</v>
      </c>
    </row>
    <row r="28" spans="2:26" ht="15.75" customHeight="1" thickTop="1" x14ac:dyDescent="0.25">
      <c r="H28" s="15"/>
      <c r="I28" s="15"/>
    </row>
    <row r="29" spans="2:26" ht="15.75" thickBot="1" x14ac:dyDescent="0.3"/>
    <row r="30" spans="2:26" ht="51" customHeight="1" x14ac:dyDescent="0.25">
      <c r="B30" s="187" t="s">
        <v>114</v>
      </c>
      <c r="C30" s="188"/>
      <c r="D30" s="188"/>
      <c r="E30" s="188"/>
      <c r="F30" s="188"/>
      <c r="G30" s="188"/>
      <c r="H30" s="188"/>
      <c r="I30" s="188"/>
      <c r="J30" s="188"/>
      <c r="K30" s="188"/>
      <c r="L30" s="188"/>
      <c r="M30" s="188"/>
      <c r="N30" s="188"/>
      <c r="O30" s="188"/>
      <c r="P30" s="188"/>
      <c r="Q30" s="188"/>
      <c r="R30" s="189"/>
    </row>
    <row r="31" spans="2:26" ht="52.9" customHeight="1" x14ac:dyDescent="0.25">
      <c r="B31" s="180"/>
      <c r="C31" s="182" t="s">
        <v>90</v>
      </c>
      <c r="D31" s="183"/>
      <c r="E31" s="183"/>
      <c r="F31" s="183"/>
      <c r="G31" s="183"/>
      <c r="H31" s="183"/>
      <c r="I31" s="183"/>
      <c r="J31" s="184"/>
      <c r="K31" s="185" t="s">
        <v>91</v>
      </c>
      <c r="L31" s="183"/>
      <c r="M31" s="183"/>
      <c r="N31" s="183"/>
      <c r="O31" s="183"/>
      <c r="P31" s="183"/>
      <c r="Q31" s="183"/>
      <c r="R31" s="186"/>
    </row>
    <row r="32" spans="2:26" ht="103.9" customHeight="1" x14ac:dyDescent="0.25">
      <c r="B32" s="181"/>
      <c r="C32" s="83" t="s">
        <v>69</v>
      </c>
      <c r="D32" s="83" t="s">
        <v>66</v>
      </c>
      <c r="E32" s="83" t="s">
        <v>67</v>
      </c>
      <c r="F32" s="34" t="s">
        <v>68</v>
      </c>
      <c r="G32" s="74" t="s">
        <v>70</v>
      </c>
      <c r="H32" s="75" t="s">
        <v>71</v>
      </c>
      <c r="I32" s="75" t="s">
        <v>72</v>
      </c>
      <c r="J32" s="76" t="s">
        <v>73</v>
      </c>
      <c r="K32" s="33" t="s">
        <v>69</v>
      </c>
      <c r="L32" s="83" t="s">
        <v>66</v>
      </c>
      <c r="M32" s="83" t="s">
        <v>67</v>
      </c>
      <c r="N32" s="34" t="s">
        <v>68</v>
      </c>
      <c r="O32" s="74" t="s">
        <v>70</v>
      </c>
      <c r="P32" s="75" t="s">
        <v>71</v>
      </c>
      <c r="Q32" s="75" t="s">
        <v>72</v>
      </c>
      <c r="R32" s="78" t="s">
        <v>73</v>
      </c>
    </row>
    <row r="33" spans="2:18" ht="31.15" customHeight="1" x14ac:dyDescent="0.25">
      <c r="B33" s="79" t="s">
        <v>60</v>
      </c>
      <c r="C33" s="26">
        <f>SUMIFS('Munkatárs kiutazások'!K7:K106,'Munkatárs kiutazások'!B7:B106,Segédlet!L8,'Munkatárs kiutazások'!D7:D106,B24)</f>
        <v>0</v>
      </c>
      <c r="D33" s="26">
        <f>SUMIFS(Segédlet!W3:W102,'Munkatárs kiutazások'!B7:B106,Segédlet!L8,'Munkatárs kiutazások'!D7:D106,B24)</f>
        <v>0</v>
      </c>
      <c r="E33" s="24">
        <f>ROUNDDOWN(IF(C33=0,0,D33/C33),1)</f>
        <v>0</v>
      </c>
      <c r="F33" s="36">
        <f>SUMIFS('Munkatárs kiutazások'!P7:P106,'Munkatárs kiutazások'!B7:B106,Segédlet!L8,'Munkatárs kiutazások'!D7:D106,B24)</f>
        <v>0</v>
      </c>
      <c r="G33" s="26">
        <f>SUMIFS('Munkatárs kiutazások'!J7:J106,'Munkatárs kiutazások'!B7:B106,Segédlet!L8,'Munkatárs kiutazások'!D7:D106,B24)</f>
        <v>0</v>
      </c>
      <c r="H33" s="26">
        <f>SUMIFS(Segédlet!X3:X102,'Munkatárs kiutazások'!B7:B106,Segédlet!L8,'Munkatárs kiutazások'!D7:D106,B24)</f>
        <v>0</v>
      </c>
      <c r="I33" s="24">
        <f>ROUNDDOWN(IF(G33=0,0,H33/G33),1)</f>
        <v>0</v>
      </c>
      <c r="J33" s="28">
        <f>SUMIFS('Munkatárs kiutazások'!O7:O106,'Munkatárs kiutazások'!B7:B106,Segédlet!L8,'Munkatárs kiutazások'!D7:D106,B24)</f>
        <v>0</v>
      </c>
      <c r="K33" s="26">
        <f>SUMIFS('Munkatárs kiutazások'!K7:K106,'Munkatárs kiutazások'!B7:B106,Segédlet!L9,'Munkatárs kiutazások'!D7:D106,B24)</f>
        <v>0</v>
      </c>
      <c r="L33" s="26">
        <f>SUMIFS(Segédlet!W3:W102,'Munkatárs kiutazások'!B7:B106,Segédlet!L9,'Munkatárs kiutazások'!D7:D106,B24)</f>
        <v>0</v>
      </c>
      <c r="M33" s="24">
        <f>ROUNDDOWN(IF(K33=0,0,L33/K33),1)</f>
        <v>0</v>
      </c>
      <c r="N33" s="36">
        <f>SUMIFS('Munkatárs kiutazások'!P7:P106,'Munkatárs kiutazások'!B7:B106,Segédlet!L9,'Munkatárs kiutazások'!D7:D106,B24)</f>
        <v>0</v>
      </c>
      <c r="O33" s="26">
        <f>SUMIFS('Munkatárs kiutazások'!J7:J106,'Munkatárs kiutazások'!B7:B106,Segédlet!L9,'Munkatárs kiutazások'!D7:D106,B24)</f>
        <v>0</v>
      </c>
      <c r="P33" s="26">
        <f>SUMIFS(Segédlet!X3:X102,'Munkatárs kiutazások'!B7:B106,Segédlet!L9,'Munkatárs kiutazások'!D7:D106,B24)</f>
        <v>0</v>
      </c>
      <c r="Q33" s="24">
        <f>ROUNDDOWN(IF(O33=0,0,P33/O33),1)</f>
        <v>0</v>
      </c>
      <c r="R33" s="32">
        <f>SUMIFS('Munkatárs kiutazások'!O7:O106,'Munkatárs kiutazások'!B7:B106,Segédlet!L9,'Munkatárs kiutazások'!D7:D106,B24)</f>
        <v>0</v>
      </c>
    </row>
    <row r="34" spans="2:18" ht="31.15" customHeight="1" x14ac:dyDescent="0.25">
      <c r="B34" s="79" t="s">
        <v>61</v>
      </c>
      <c r="C34" s="26">
        <f>SUMIFS('Munkatárs kiutazások'!K7:K106,'Munkatárs kiutazások'!B7:B106,Segédlet!L8,'Munkatárs kiutazások'!D7:D106,B25)</f>
        <v>0</v>
      </c>
      <c r="D34" s="26">
        <f>SUMIFS(Segédlet!W3:W102,'Munkatárs kiutazások'!B7:B106,Segédlet!L8,'Munkatárs kiutazások'!D7:D106,B25)</f>
        <v>0</v>
      </c>
      <c r="E34" s="24">
        <f>ROUNDDOWN(IF(C34=0,0,D34/C34),1)</f>
        <v>0</v>
      </c>
      <c r="F34" s="36">
        <f>SUMIFS('Munkatárs kiutazások'!P7:P106,'Munkatárs kiutazások'!B7:B106,Segédlet!L8,'Munkatárs kiutazások'!D7:D106,B25)</f>
        <v>0</v>
      </c>
      <c r="G34" s="26">
        <f>SUMIFS('Munkatárs kiutazások'!J7:J106,'Munkatárs kiutazások'!B7:B106,Segédlet!L8,'Munkatárs kiutazások'!D7:D106,B25)</f>
        <v>0</v>
      </c>
      <c r="H34" s="26">
        <f>SUMIFS(Segédlet!X3:X102,'Munkatárs kiutazások'!B7:B106,Segédlet!L8,'Munkatárs kiutazások'!D7:D106,B25)</f>
        <v>0</v>
      </c>
      <c r="I34" s="24">
        <f>ROUNDDOWN(IF(G34=0,0,H34/G34),1)</f>
        <v>0</v>
      </c>
      <c r="J34" s="28">
        <f>SUMIFS('Munkatárs kiutazások'!O7:O106,'Munkatárs kiutazások'!B7:B106,Segédlet!L8,'Munkatárs kiutazások'!D7:D106,B25)</f>
        <v>0</v>
      </c>
      <c r="K34" s="26">
        <f>SUMIFS('Munkatárs kiutazások'!K7:K106,'Munkatárs kiutazások'!B7:B106,Segédlet!L9,'Munkatárs kiutazások'!D7:D106,B25)</f>
        <v>0</v>
      </c>
      <c r="L34" s="26">
        <f>SUMIFS(Segédlet!W3:W102,'Munkatárs kiutazások'!B7:B106,Segédlet!L9,'Munkatárs kiutazások'!D7:D106,B25)</f>
        <v>0</v>
      </c>
      <c r="M34" s="24">
        <f>ROUNDDOWN(IF(K34=0,0,L34/K34),1)</f>
        <v>0</v>
      </c>
      <c r="N34" s="36">
        <f>SUMIFS('Munkatárs kiutazások'!P7:P106,'Munkatárs kiutazások'!B7:B106,Segédlet!L9,'Munkatárs kiutazások'!D7:D106,B25)</f>
        <v>0</v>
      </c>
      <c r="O34" s="26">
        <f>SUMIFS('Munkatárs kiutazások'!J7:J106,'Munkatárs kiutazások'!B7:B106,Segédlet!L9,'Munkatárs kiutazások'!D7:D106,B25)</f>
        <v>0</v>
      </c>
      <c r="P34" s="26">
        <f>SUMIFS(Segédlet!X3:X102,'Munkatárs kiutazások'!B7:B106,Segédlet!L9,'Munkatárs kiutazások'!D7:D106,B25)</f>
        <v>0</v>
      </c>
      <c r="Q34" s="24">
        <f>ROUNDDOWN(IF(O34=0,0,P34/O34),1)</f>
        <v>0</v>
      </c>
      <c r="R34" s="32">
        <f>SUMIFS('Munkatárs kiutazások'!O7:O106,'Munkatárs kiutazások'!B7:B106,Segédlet!L9,'Munkatárs kiutazások'!D7:D106,B25)</f>
        <v>0</v>
      </c>
    </row>
    <row r="35" spans="2:18" ht="31.15" customHeight="1" thickBot="1" x14ac:dyDescent="0.3">
      <c r="B35" s="80" t="s">
        <v>62</v>
      </c>
      <c r="C35" s="27">
        <f>SUMIFS('Munkatárs kiutazások'!K7:K106,'Munkatárs kiutazások'!B7:B106,Segédlet!L8,'Munkatárs kiutazások'!D7:D106,B26)</f>
        <v>0</v>
      </c>
      <c r="D35" s="27">
        <f>SUMIFS(Segédlet!W3:W102,'Munkatárs kiutazások'!B7:B106,Segédlet!L8,'Munkatárs kiutazások'!D7:D106,B26)</f>
        <v>0</v>
      </c>
      <c r="E35" s="24">
        <f>ROUNDDOWN(IF(C35=0,0,D35/C35),1)</f>
        <v>0</v>
      </c>
      <c r="F35" s="37">
        <f>SUMIFS('Munkatárs kiutazások'!P7:P106,'Munkatárs kiutazások'!B7:B106,Segédlet!L8,'Munkatárs kiutazások'!D7:D106,B26)</f>
        <v>0</v>
      </c>
      <c r="G35" s="35">
        <f>SUMIFS('Munkatárs kiutazások'!J7:J106,'Munkatárs kiutazások'!B7:B106,Segédlet!L8,'Munkatárs kiutazások'!D7:D106,B26)</f>
        <v>0</v>
      </c>
      <c r="H35" s="27">
        <f>SUMIFS(Segédlet!X3:X102,'Munkatárs kiutazások'!B7:B106,Segédlet!L8,'Munkatárs kiutazások'!D7:D106,B26)</f>
        <v>0</v>
      </c>
      <c r="I35" s="24">
        <f>ROUNDDOWN(IF(G35=0,0,H35/G35),1)</f>
        <v>0</v>
      </c>
      <c r="J35" s="29">
        <f>SUMIFS('Munkatárs kiutazások'!O7:O106,'Munkatárs kiutazások'!B7:B106,Segédlet!L8,'Munkatárs kiutazások'!D7:D106,B26)</f>
        <v>0</v>
      </c>
      <c r="K35" s="27">
        <f>SUMIFS('Munkatárs kiutazások'!K7:K106,'Munkatárs kiutazások'!B7:B106,Segédlet!L9,'Munkatárs kiutazások'!D7:D106,B26)</f>
        <v>0</v>
      </c>
      <c r="L35" s="27">
        <f>SUMIFS(Segédlet!W3:W102,'Munkatárs kiutazások'!B7:B106,Segédlet!L9,'Munkatárs kiutazások'!D7:D106,B26)</f>
        <v>0</v>
      </c>
      <c r="M35" s="24">
        <f>ROUNDDOWN(IF(K35=0,0,L35/K35),1)</f>
        <v>0</v>
      </c>
      <c r="N35" s="37">
        <f>SUMIFS('Munkatárs kiutazások'!P7:P106,'Munkatárs kiutazások'!B7:B106,Segédlet!L9,'Munkatárs kiutazások'!D7:D106,B26)</f>
        <v>0</v>
      </c>
      <c r="O35" s="35">
        <f>SUMIFS('Munkatárs kiutazások'!J7:J106,'Munkatárs kiutazások'!B7:B106,Segédlet!L9,'Munkatárs kiutazások'!D7:D106,B26)</f>
        <v>0</v>
      </c>
      <c r="P35" s="27">
        <f>SUMIFS(Segédlet!X3:X102,'Munkatárs kiutazások'!B7:B106,Segédlet!L9,'Munkatárs kiutazások'!D7:D106,B26)</f>
        <v>0</v>
      </c>
      <c r="Q35" s="24">
        <f>ROUNDDOWN(IF(O35=0,0,P35/O35),1)</f>
        <v>0</v>
      </c>
      <c r="R35" s="65">
        <f>SUMIFS('Munkatárs kiutazások'!O7:O106,'Munkatárs kiutazások'!B7:B106,Segédlet!L9,'Munkatárs kiutazások'!D7:D106,B26)</f>
        <v>0</v>
      </c>
    </row>
    <row r="36" spans="2:18" ht="31.15" customHeight="1" thickBot="1" x14ac:dyDescent="0.3">
      <c r="B36" s="81" t="s">
        <v>65</v>
      </c>
      <c r="C36" s="66">
        <f>SUM(C33:C35)</f>
        <v>0</v>
      </c>
      <c r="D36" s="66">
        <f>SUM(D33:D35)</f>
        <v>0</v>
      </c>
      <c r="E36" s="67"/>
      <c r="F36" s="68">
        <f>SUM(F33:F35)</f>
        <v>0</v>
      </c>
      <c r="G36" s="66">
        <f>SUM(G33:G35)</f>
        <v>0</v>
      </c>
      <c r="H36" s="66">
        <f>SUM(H33:H35)</f>
        <v>0</v>
      </c>
      <c r="I36" s="67"/>
      <c r="J36" s="69">
        <f>SUM(J33:J35)</f>
        <v>0</v>
      </c>
      <c r="K36" s="66">
        <f>SUM(K33:K35)</f>
        <v>0</v>
      </c>
      <c r="L36" s="66">
        <f>SUM(L33:L35)</f>
        <v>0</v>
      </c>
      <c r="M36" s="67"/>
      <c r="N36" s="68">
        <f>SUM(N33:N35)</f>
        <v>0</v>
      </c>
      <c r="O36" s="66">
        <f>SUM(O33:O35)</f>
        <v>0</v>
      </c>
      <c r="P36" s="66">
        <f>SUM(P33:P35)</f>
        <v>0</v>
      </c>
      <c r="Q36" s="67"/>
      <c r="R36" s="70">
        <f>SUM(R33:R35)</f>
        <v>0</v>
      </c>
    </row>
    <row r="38" spans="2:18" ht="52.5" customHeight="1" x14ac:dyDescent="0.25"/>
    <row r="39" spans="2:18" ht="34.5" customHeight="1" x14ac:dyDescent="0.25"/>
  </sheetData>
  <sheetProtection algorithmName="SHA-512" hashValue="JCqyeX1sCdZhLdZK6D5cbTt8etemarrv6h8aBMMYHUubNvrGbIpysj5D0+17bySFtMYGi6RxbPozy7DGgl+K7g==" saltValue="MyThQlFhIa76HnqNbGD3gA==" spinCount="100000" sheet="1" objects="1" scenarios="1"/>
  <protectedRanges>
    <protectedRange algorithmName="SHA-512" hashValue="4tOTNeTEKKn9tTYuh4wB0cctxYbsLe1ubDRWHTekfDikGATaR+1VHoOK+hiDW2yGjriEmcUzkc+u9OM3Dr/D+A==" saltValue="DLvFreBFetj4ACM2LSSbEQ==" spinCount="100000" sqref="E2 B2 F2:M4 C3:E4 R2:X4" name="Nem módosítható"/>
  </protectedRanges>
  <dataConsolidate/>
  <mergeCells count="20">
    <mergeCell ref="B31:B32"/>
    <mergeCell ref="C31:J31"/>
    <mergeCell ref="K31:R31"/>
    <mergeCell ref="B30:R30"/>
    <mergeCell ref="I7:J7"/>
    <mergeCell ref="K7:L7"/>
    <mergeCell ref="B21:Z21"/>
    <mergeCell ref="C22:J22"/>
    <mergeCell ref="K22:R22"/>
    <mergeCell ref="S22:Z22"/>
    <mergeCell ref="B22:B23"/>
    <mergeCell ref="B6:O6"/>
    <mergeCell ref="N7:N8"/>
    <mergeCell ref="O7:O8"/>
    <mergeCell ref="B2:D4"/>
    <mergeCell ref="E2:M4"/>
    <mergeCell ref="M7:M8"/>
    <mergeCell ref="C7:D7"/>
    <mergeCell ref="E7:F7"/>
    <mergeCell ref="G7:H7"/>
  </mergeCells>
  <conditionalFormatting sqref="C7">
    <cfRule type="notContainsBlanks" dxfId="4" priority="5">
      <formula>LEN(TRIM(C7))&gt;0</formula>
    </cfRule>
  </conditionalFormatting>
  <conditionalFormatting sqref="E7">
    <cfRule type="notContainsBlanks" dxfId="3" priority="4">
      <formula>LEN(TRIM(E7))&gt;0</formula>
    </cfRule>
  </conditionalFormatting>
  <conditionalFormatting sqref="G7">
    <cfRule type="notContainsBlanks" dxfId="2" priority="3">
      <formula>LEN(TRIM(G7))&gt;0</formula>
    </cfRule>
  </conditionalFormatting>
  <conditionalFormatting sqref="I7">
    <cfRule type="notContainsBlanks" dxfId="1" priority="2">
      <formula>LEN(TRIM(I7))&gt;0</formula>
    </cfRule>
  </conditionalFormatting>
  <conditionalFormatting sqref="K7">
    <cfRule type="notContainsBlanks" dxfId="0" priority="1">
      <formula>LEN(TRIM(K7))&gt;0</formula>
    </cfRule>
  </conditionalFormatting>
  <printOptions horizontalCentered="1"/>
  <pageMargins left="0.59055118110236227" right="0.59055118110236227" top="0.59055118110236227" bottom="0.59055118110236227" header="0" footer="0"/>
  <pageSetup paperSize="9" scale="31" fitToHeight="0" orientation="landscape" r:id="rId1"/>
  <ignoredErrors>
    <ignoredError sqref="J19:K19 G19:H19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">
    <tabColor theme="1"/>
  </sheetPr>
  <dimension ref="B1:AA102"/>
  <sheetViews>
    <sheetView topLeftCell="C1" zoomScale="70" zoomScaleNormal="70" workbookViewId="0">
      <selection activeCell="N3" sqref="N3"/>
    </sheetView>
  </sheetViews>
  <sheetFormatPr defaultColWidth="8.85546875" defaultRowHeight="15" x14ac:dyDescent="0.25"/>
  <cols>
    <col min="1" max="1" width="8.85546875" style="15"/>
    <col min="2" max="2" width="15.28515625" style="15" bestFit="1" customWidth="1"/>
    <col min="3" max="3" width="16.85546875" style="15" bestFit="1" customWidth="1"/>
    <col min="4" max="4" width="9.28515625" style="15" customWidth="1"/>
    <col min="5" max="8" width="8.85546875" style="15"/>
    <col min="9" max="9" width="14" style="15" bestFit="1" customWidth="1"/>
    <col min="10" max="10" width="14.85546875" style="15" bestFit="1" customWidth="1"/>
    <col min="11" max="11" width="16.28515625" style="15" customWidth="1"/>
    <col min="12" max="12" width="53.28515625" style="15" bestFit="1" customWidth="1"/>
    <col min="13" max="17" width="8.85546875" style="15"/>
    <col min="18" max="20" width="10.28515625" style="15" customWidth="1"/>
    <col min="21" max="23" width="15.7109375" style="15" customWidth="1"/>
    <col min="24" max="24" width="13.42578125" style="15" customWidth="1"/>
    <col min="25" max="16384" width="8.85546875" style="15"/>
  </cols>
  <sheetData>
    <row r="1" spans="2:27" ht="15.75" thickBot="1" x14ac:dyDescent="0.3"/>
    <row r="2" spans="2:27" ht="60" customHeight="1" x14ac:dyDescent="0.25">
      <c r="B2" s="200" t="s">
        <v>92</v>
      </c>
      <c r="C2" s="201"/>
      <c r="D2" s="201"/>
      <c r="E2" s="201"/>
      <c r="F2" s="201"/>
      <c r="G2" s="202"/>
      <c r="N2" s="105" t="s">
        <v>132</v>
      </c>
      <c r="O2" s="105" t="s">
        <v>118</v>
      </c>
      <c r="P2" s="105" t="s">
        <v>117</v>
      </c>
      <c r="Q2" s="105" t="s">
        <v>131</v>
      </c>
      <c r="R2" s="105" t="s">
        <v>116</v>
      </c>
      <c r="S2" s="105" t="s">
        <v>133</v>
      </c>
      <c r="T2" s="105" t="s">
        <v>115</v>
      </c>
      <c r="U2" s="105" t="s">
        <v>134</v>
      </c>
      <c r="V2" s="105" t="s">
        <v>122</v>
      </c>
      <c r="W2" s="105" t="s">
        <v>127</v>
      </c>
      <c r="X2" s="105" t="s">
        <v>123</v>
      </c>
      <c r="Y2" s="105" t="s">
        <v>124</v>
      </c>
      <c r="Z2" s="105" t="s">
        <v>125</v>
      </c>
      <c r="AA2" s="105" t="s">
        <v>126</v>
      </c>
    </row>
    <row r="3" spans="2:27" ht="46.9" customHeight="1" thickBot="1" x14ac:dyDescent="0.3">
      <c r="B3" s="199" t="s">
        <v>63</v>
      </c>
      <c r="C3" s="197" t="s">
        <v>13</v>
      </c>
      <c r="D3" s="197" t="s">
        <v>94</v>
      </c>
      <c r="E3" s="197"/>
      <c r="F3" s="197" t="s">
        <v>95</v>
      </c>
      <c r="G3" s="198"/>
      <c r="N3" s="15" t="str">
        <f>IF(AND('Tanuló kiutazások'!AD7&lt;&gt;"",'Tanuló kiutazások'!AD7&gt;0),'Tanuló kiutazások'!D7,"")</f>
        <v/>
      </c>
      <c r="O3" s="15" t="str">
        <f>IF('Tanuló kiutazások'!B7&lt;&gt;"",IF('Tanuló kiutazások'!Z7="Jogosult igényelni",IF('Tanuló kiutazások'!AD7&gt;0,'Tanuló kiutazások'!AA7*'Tanuló kiutazások'!AD7*VLOOKUP('Tanuló kiutazások'!C7,Segédlet!$C$5:$G$37,4,0),0),0),"")</f>
        <v/>
      </c>
      <c r="P3" s="15" t="str">
        <f>IF('Tanuló kiutazások'!B7&lt;&gt;"",IF('Tanuló kiutazások'!Z7="Jogosult igényelni",IF('Tanuló kiutazások'!AD7&gt;0,1*'Tanuló kiutazások'!AD7*VLOOKUP('Tanuló kiutazások'!C7,Segédlet!$C$5:$G$37,4,0),0),0),"")</f>
        <v/>
      </c>
      <c r="Q3" s="15" t="str">
        <f>IF('Tanuló kiutazások'!B7&lt;&gt;"",IF(AND('Tanuló kiutazások'!Z7="Jogosult igényelni",'Tanuló kiutazások'!AD7&gt;0),'Tanuló kiutazások'!AA7,0),"")</f>
        <v/>
      </c>
      <c r="R3" s="15" t="str">
        <f>IF('Tanuló kiutazások'!B7&lt;&gt;"",IF(AND('Tanuló kiutazások'!Z7="Jogosult igényelni",'Tanuló kiutazások'!AD7&gt;0),1,0),"")</f>
        <v/>
      </c>
      <c r="S3" s="15" t="str">
        <f>IF('Tanuló kiutazások'!B7&lt;&gt;"",IF('Tanuló kiutazások'!Z7="Jogosult igényelni",IF(AND('Tanuló kiutazások'!AC7&gt;0,'Tanuló kiutazások'!AF7&gt;0),(1+'Tanuló kiutazások'!AA7-'Tanuló kiutazások'!AC7)*VLOOKUP('Tanuló kiutazások'!P7,$I$5:$J$12,2,0),IF('Tanuló kiutazások'!AD7&gt;0,(1+'Tanuló kiutazások'!AA7)*VLOOKUP('Tanuló kiutazások'!P7,$I$5:$J$12,2,0),0)),0),"")</f>
        <v/>
      </c>
      <c r="T3" s="15" t="str">
        <f>IF(N3&lt;&gt;"",IF(Q3=1,S3/2,0),"")</f>
        <v/>
      </c>
      <c r="U3" s="15" t="str">
        <f>IF(N3&lt;&gt;"",IF(Q3=0,S3,S3/2),"")</f>
        <v/>
      </c>
      <c r="V3" s="15" t="str">
        <f>IF('Tanuló kiutazások'!AD7&gt;0,'Tanuló kiutazások'!AD7,0)</f>
        <v/>
      </c>
      <c r="W3" s="15" t="str">
        <f>IF(AND(Q3&lt;&gt;"",Q3&gt;0),V3,IF(N3="","",0))</f>
        <v/>
      </c>
      <c r="X3" s="23" t="str">
        <f>IF('Tanuló kiutazások'!B7&lt;&gt;"",'Tanuló kiutazások'!G7*'Tanuló kiutazások'!N7,"")</f>
        <v/>
      </c>
      <c r="Y3" s="23" t="str">
        <f>IF('Tanuló kiutazások'!B7&lt;&gt;"",('Tanuló kiutazások'!L7+'Tanuló kiutazások'!M7)*'Tanuló kiutazások'!K7,"")</f>
        <v/>
      </c>
      <c r="Z3" s="15" t="str">
        <f>IF('Munkatárs kiutazások'!B7&lt;&gt;"",'Munkatárs kiutazások'!G7*'Munkatárs kiutazások'!K7,"")</f>
        <v/>
      </c>
      <c r="AA3" s="15" t="str">
        <f>IF('Munkatárs kiutazások'!B7&lt;&gt;"",'Munkatárs kiutazások'!G7*'Munkatárs kiutazások'!J7,"")</f>
        <v/>
      </c>
    </row>
    <row r="4" spans="2:27" ht="40.5" customHeight="1" x14ac:dyDescent="0.25">
      <c r="B4" s="199"/>
      <c r="C4" s="197"/>
      <c r="D4" s="106" t="s">
        <v>12</v>
      </c>
      <c r="E4" s="106" t="s">
        <v>93</v>
      </c>
      <c r="F4" s="106" t="s">
        <v>12</v>
      </c>
      <c r="G4" s="107" t="s">
        <v>93</v>
      </c>
      <c r="I4" s="108" t="s">
        <v>5</v>
      </c>
      <c r="J4" s="109" t="s">
        <v>6</v>
      </c>
      <c r="L4" s="110" t="s">
        <v>50</v>
      </c>
      <c r="N4" s="15" t="str">
        <f>IF(AND('Tanuló kiutazások'!AD8&lt;&gt;"",'Tanuló kiutazások'!AD8&gt;0),'Tanuló kiutazások'!D8,"")</f>
        <v/>
      </c>
      <c r="O4" s="15" t="str">
        <f>IF('Tanuló kiutazások'!B8&lt;&gt;"",IF('Tanuló kiutazások'!Z8="Jogosult igényelni",IF('Tanuló kiutazások'!AD8&gt;0,'Tanuló kiutazások'!AA8*'Tanuló kiutazások'!AD8*VLOOKUP('Tanuló kiutazások'!C8,Segédlet!$C$5:$G$37,4,0),0),0),"")</f>
        <v/>
      </c>
      <c r="P4" s="15" t="str">
        <f>IF('Tanuló kiutazások'!B8&lt;&gt;"",IF('Tanuló kiutazások'!Z8="Jogosult igényelni",IF('Tanuló kiutazások'!AD8&gt;0,1*'Tanuló kiutazások'!AD8*VLOOKUP('Tanuló kiutazások'!C8,Segédlet!$C$5:$G$37,4,0),0),0),"")</f>
        <v/>
      </c>
      <c r="Q4" s="15" t="str">
        <f>IF('Tanuló kiutazások'!B8&lt;&gt;"",IF(AND('Tanuló kiutazások'!Z8="Jogosult igényelni",'Tanuló kiutazások'!AD8&gt;0),'Tanuló kiutazások'!AA8,0),"")</f>
        <v/>
      </c>
      <c r="R4" s="15" t="str">
        <f>IF('Tanuló kiutazások'!B8&lt;&gt;"",IF(AND('Tanuló kiutazások'!Z8="Jogosult igényelni",'Tanuló kiutazások'!AD8&gt;0),1,0),"")</f>
        <v/>
      </c>
      <c r="S4" s="15" t="str">
        <f>IF('Tanuló kiutazások'!B8&lt;&gt;"",IF('Tanuló kiutazások'!Z8="Jogosult igényelni",IF(AND('Tanuló kiutazások'!AC8&gt;0,'Tanuló kiutazások'!AF8&gt;0),(1+'Tanuló kiutazások'!AA8-'Tanuló kiutazások'!AC8)*VLOOKUP('Tanuló kiutazások'!P8,$I$5:$J$12,2,0),IF('Tanuló kiutazások'!AD8&gt;0,(1+'Tanuló kiutazások'!AA8)*VLOOKUP('Tanuló kiutazások'!P8,$I$5:$J$12,2,0),0)),0),"")</f>
        <v/>
      </c>
      <c r="T4" s="15" t="str">
        <f t="shared" ref="T4:T67" si="0">IF(N4&lt;&gt;"",IF(Q4=1,S4/2,0),"")</f>
        <v/>
      </c>
      <c r="U4" s="15" t="str">
        <f t="shared" ref="U4:U67" si="1">IF(N4&lt;&gt;"",IF(Q4=0,S4,S4/2),"")</f>
        <v/>
      </c>
      <c r="V4" s="15" t="str">
        <f>IF('Tanuló kiutazások'!AD8&gt;0,'Tanuló kiutazások'!AD8,0)</f>
        <v/>
      </c>
      <c r="W4" s="15" t="str">
        <f t="shared" ref="W4:W67" si="2">IF(AND(Q4&lt;&gt;"",Q4&gt;0),V4,IF(N4="","",0))</f>
        <v/>
      </c>
      <c r="X4" s="23" t="str">
        <f>IF('Tanuló kiutazások'!B8&lt;&gt;"",'Tanuló kiutazások'!G8*'Tanuló kiutazások'!N8,"")</f>
        <v/>
      </c>
      <c r="Y4" s="23" t="str">
        <f>IF('Tanuló kiutazások'!B8&lt;&gt;"",('Tanuló kiutazások'!L8+'Tanuló kiutazások'!M8)*'Tanuló kiutazások'!K8,"")</f>
        <v/>
      </c>
      <c r="Z4" s="15" t="str">
        <f>IF('Munkatárs kiutazások'!B8&lt;&gt;"",'Munkatárs kiutazások'!G8*'Munkatárs kiutazások'!K8,"")</f>
        <v/>
      </c>
      <c r="AA4" s="15" t="str">
        <f>IF('Munkatárs kiutazások'!B8&lt;&gt;"",'Munkatárs kiutazások'!G8*'Munkatárs kiutazások'!J8,"")</f>
        <v/>
      </c>
    </row>
    <row r="5" spans="2:27" x14ac:dyDescent="0.25">
      <c r="B5" s="111" t="str">
        <f>IF(F5=112,"1. országcsoport",IF(F5=99,"2. országcsoport","3. országcsoport"))</f>
        <v>2. országcsoport</v>
      </c>
      <c r="C5" s="112" t="s">
        <v>14</v>
      </c>
      <c r="D5" s="113">
        <v>49</v>
      </c>
      <c r="E5" s="113">
        <f>IF(D5&lt;&gt;41,IF(D5=49,34,39),29)</f>
        <v>34</v>
      </c>
      <c r="F5" s="113">
        <f>IF(D5&lt;&gt;41,IF(D5=49,99,112),87)</f>
        <v>99</v>
      </c>
      <c r="G5" s="114">
        <f>IF(D5&lt;&gt;41,IF(D5=49,70,80),61)</f>
        <v>70</v>
      </c>
      <c r="I5" s="115" t="s">
        <v>46</v>
      </c>
      <c r="J5" s="116">
        <v>0</v>
      </c>
      <c r="L5" s="117" t="s">
        <v>87</v>
      </c>
      <c r="N5" s="15" t="str">
        <f>IF(AND('Tanuló kiutazások'!AD9&lt;&gt;"",'Tanuló kiutazások'!AD9&gt;0),'Tanuló kiutazások'!D9,"")</f>
        <v/>
      </c>
      <c r="O5" s="15" t="str">
        <f>IF('Tanuló kiutazások'!B9&lt;&gt;"",IF('Tanuló kiutazások'!Z9="Jogosult igényelni",IF('Tanuló kiutazások'!AD9&gt;0,'Tanuló kiutazások'!AA9*'Tanuló kiutazások'!AD9*VLOOKUP('Tanuló kiutazások'!C9,Segédlet!$C$5:$G$37,4,0),0),0),"")</f>
        <v/>
      </c>
      <c r="P5" s="15" t="str">
        <f>IF('Tanuló kiutazások'!B9&lt;&gt;"",IF('Tanuló kiutazások'!Z9="Jogosult igényelni",IF('Tanuló kiutazások'!AD9&gt;0,1*'Tanuló kiutazások'!AD9*VLOOKUP('Tanuló kiutazások'!C9,Segédlet!$C$5:$G$37,4,0),0),0),"")</f>
        <v/>
      </c>
      <c r="Q5" s="15" t="str">
        <f>IF('Tanuló kiutazások'!B9&lt;&gt;"",IF(AND('Tanuló kiutazások'!Z9="Jogosult igényelni",'Tanuló kiutazások'!AD9&gt;0),'Tanuló kiutazások'!AA9,0),"")</f>
        <v/>
      </c>
      <c r="R5" s="15" t="str">
        <f>IF('Tanuló kiutazások'!B9&lt;&gt;"",IF(AND('Tanuló kiutazások'!Z9="Jogosult igényelni",'Tanuló kiutazások'!AD9&gt;0),1,0),"")</f>
        <v/>
      </c>
      <c r="S5" s="15" t="str">
        <f>IF('Tanuló kiutazások'!B9&lt;&gt;"",IF('Tanuló kiutazások'!Z9="Jogosult igényelni",IF(AND('Tanuló kiutazások'!AC9&gt;0,'Tanuló kiutazások'!AF9&gt;0),(1+'Tanuló kiutazások'!AA9-'Tanuló kiutazások'!AC9)*VLOOKUP('Tanuló kiutazások'!P9,$I$5:$J$12,2,0),IF('Tanuló kiutazások'!AD9&gt;0,(1+'Tanuló kiutazások'!AA9)*VLOOKUP('Tanuló kiutazások'!P9,$I$5:$J$12,2,0),0)),0),"")</f>
        <v/>
      </c>
      <c r="T5" s="15" t="str">
        <f t="shared" si="0"/>
        <v/>
      </c>
      <c r="U5" s="15" t="str">
        <f t="shared" si="1"/>
        <v/>
      </c>
      <c r="V5" s="15" t="str">
        <f>IF('Tanuló kiutazások'!AD9&gt;0,'Tanuló kiutazások'!AD9,0)</f>
        <v/>
      </c>
      <c r="W5" s="15" t="str">
        <f t="shared" si="2"/>
        <v/>
      </c>
      <c r="X5" s="23" t="str">
        <f>IF('Tanuló kiutazások'!B9&lt;&gt;"",'Tanuló kiutazások'!G9*'Tanuló kiutazások'!N9,"")</f>
        <v/>
      </c>
      <c r="Y5" s="23" t="str">
        <f>IF('Tanuló kiutazások'!B9&lt;&gt;"",('Tanuló kiutazások'!L9+'Tanuló kiutazások'!M9)*'Tanuló kiutazások'!K9,"")</f>
        <v/>
      </c>
      <c r="Z5" s="15" t="str">
        <f>IF('Munkatárs kiutazások'!B9&lt;&gt;"",'Munkatárs kiutazások'!G9*'Munkatárs kiutazások'!K9,"")</f>
        <v/>
      </c>
      <c r="AA5" s="15" t="str">
        <f>IF('Munkatárs kiutazások'!B9&lt;&gt;"",'Munkatárs kiutazások'!G9*'Munkatárs kiutazások'!J9,"")</f>
        <v/>
      </c>
    </row>
    <row r="6" spans="2:27" x14ac:dyDescent="0.25">
      <c r="B6" s="111" t="str">
        <f t="shared" ref="B6:B37" si="3">IF(F6=112,"1. országcsoport",IF(F6=99,"2. országcsoport","3. országcsoport"))</f>
        <v>2. országcsoport</v>
      </c>
      <c r="C6" s="112" t="s">
        <v>15</v>
      </c>
      <c r="D6" s="113">
        <v>49</v>
      </c>
      <c r="E6" s="113">
        <f t="shared" ref="E6:E37" si="4">IF(D6&lt;&gt;41,IF(D6=49,34,39),29)</f>
        <v>34</v>
      </c>
      <c r="F6" s="113">
        <f t="shared" ref="F6:F37" si="5">IF(D6&lt;&gt;41,IF(D6=49,99,112),87)</f>
        <v>99</v>
      </c>
      <c r="G6" s="114">
        <f t="shared" ref="G6:G37" si="6">IF(D6&lt;&gt;41,IF(D6=49,70,80),61)</f>
        <v>70</v>
      </c>
      <c r="I6" s="115" t="s">
        <v>47</v>
      </c>
      <c r="J6" s="116">
        <v>20</v>
      </c>
      <c r="L6" s="117" t="s">
        <v>88</v>
      </c>
      <c r="N6" s="15" t="str">
        <f>IF(AND('Tanuló kiutazások'!AD10&lt;&gt;"",'Tanuló kiutazások'!AD10&gt;0),'Tanuló kiutazások'!D10,"")</f>
        <v/>
      </c>
      <c r="O6" s="15" t="str">
        <f>IF('Tanuló kiutazások'!B10&lt;&gt;"",IF('Tanuló kiutazások'!Z10="Jogosult igényelni",IF('Tanuló kiutazások'!AD10&gt;0,'Tanuló kiutazások'!AA10*'Tanuló kiutazások'!AD10*VLOOKUP('Tanuló kiutazások'!C10,Segédlet!$C$5:$G$37,4,0),0),0),"")</f>
        <v/>
      </c>
      <c r="P6" s="15" t="str">
        <f>IF('Tanuló kiutazások'!B10&lt;&gt;"",IF('Tanuló kiutazások'!Z10="Jogosult igényelni",IF('Tanuló kiutazások'!AD10&gt;0,1*'Tanuló kiutazások'!AD10*VLOOKUP('Tanuló kiutazások'!C10,Segédlet!$C$5:$G$37,4,0),0),0),"")</f>
        <v/>
      </c>
      <c r="Q6" s="15" t="str">
        <f>IF('Tanuló kiutazások'!B10&lt;&gt;"",IF(AND('Tanuló kiutazások'!Z10="Jogosult igényelni",'Tanuló kiutazások'!AD10&gt;0),'Tanuló kiutazások'!AA10,0),"")</f>
        <v/>
      </c>
      <c r="R6" s="15" t="str">
        <f>IF('Tanuló kiutazások'!B10&lt;&gt;"",IF(AND('Tanuló kiutazások'!Z10="Jogosult igényelni",'Tanuló kiutazások'!AD10&gt;0),1,0),"")</f>
        <v/>
      </c>
      <c r="S6" s="15" t="str">
        <f>IF('Tanuló kiutazások'!B10&lt;&gt;"",IF('Tanuló kiutazások'!Z10="Jogosult igényelni",IF(AND('Tanuló kiutazások'!AC10&gt;0,'Tanuló kiutazások'!AF10&gt;0),(1+'Tanuló kiutazások'!AA10-'Tanuló kiutazások'!AC10)*VLOOKUP('Tanuló kiutazások'!P10,$I$5:$J$12,2,0),IF('Tanuló kiutazások'!AD10&gt;0,(1+'Tanuló kiutazások'!AA10)*VLOOKUP('Tanuló kiutazások'!P10,$I$5:$J$12,2,0),0)),0),"")</f>
        <v/>
      </c>
      <c r="T6" s="15" t="str">
        <f t="shared" si="0"/>
        <v/>
      </c>
      <c r="U6" s="15" t="str">
        <f t="shared" si="1"/>
        <v/>
      </c>
      <c r="V6" s="15" t="str">
        <f>IF('Tanuló kiutazások'!AD10&gt;0,'Tanuló kiutazások'!AD10,0)</f>
        <v/>
      </c>
      <c r="W6" s="15" t="str">
        <f t="shared" si="2"/>
        <v/>
      </c>
      <c r="X6" s="23" t="str">
        <f>IF('Tanuló kiutazások'!B10&lt;&gt;"",'Tanuló kiutazások'!G10*'Tanuló kiutazások'!N10,"")</f>
        <v/>
      </c>
      <c r="Y6" s="23" t="str">
        <f>IF('Tanuló kiutazások'!B10&lt;&gt;"",('Tanuló kiutazások'!L10+'Tanuló kiutazások'!M10)*'Tanuló kiutazások'!K10,"")</f>
        <v/>
      </c>
      <c r="Z6" s="15" t="str">
        <f>IF('Munkatárs kiutazások'!B10&lt;&gt;"",'Munkatárs kiutazások'!G10*'Munkatárs kiutazások'!K10,"")</f>
        <v/>
      </c>
      <c r="AA6" s="15" t="str">
        <f>IF('Munkatárs kiutazások'!B10&lt;&gt;"",'Munkatárs kiutazások'!G10*'Munkatárs kiutazások'!J10,"")</f>
        <v/>
      </c>
    </row>
    <row r="7" spans="2:27" x14ac:dyDescent="0.25">
      <c r="B7" s="111" t="str">
        <f t="shared" si="3"/>
        <v>3. országcsoport</v>
      </c>
      <c r="C7" s="112" t="s">
        <v>16</v>
      </c>
      <c r="D7" s="113">
        <v>41</v>
      </c>
      <c r="E7" s="113">
        <f t="shared" si="4"/>
        <v>29</v>
      </c>
      <c r="F7" s="113">
        <f t="shared" si="5"/>
        <v>87</v>
      </c>
      <c r="G7" s="114">
        <f t="shared" si="6"/>
        <v>61</v>
      </c>
      <c r="I7" s="115" t="s">
        <v>7</v>
      </c>
      <c r="J7" s="116">
        <v>180</v>
      </c>
      <c r="L7" s="117" t="s">
        <v>89</v>
      </c>
      <c r="N7" s="15" t="str">
        <f>IF(AND('Tanuló kiutazások'!AD11&lt;&gt;"",'Tanuló kiutazások'!AD11&gt;0),'Tanuló kiutazások'!D11,"")</f>
        <v/>
      </c>
      <c r="O7" s="15" t="str">
        <f>IF('Tanuló kiutazások'!B11&lt;&gt;"",IF('Tanuló kiutazások'!Z11="Jogosult igényelni",IF('Tanuló kiutazások'!AD11&gt;0,'Tanuló kiutazások'!AA11*'Tanuló kiutazások'!AD11*VLOOKUP('Tanuló kiutazások'!C11,Segédlet!$C$5:$G$37,4,0),0),0),"")</f>
        <v/>
      </c>
      <c r="P7" s="15" t="str">
        <f>IF('Tanuló kiutazások'!B11&lt;&gt;"",IF('Tanuló kiutazások'!Z11="Jogosult igényelni",IF('Tanuló kiutazások'!AD11&gt;0,1*'Tanuló kiutazások'!AD11*VLOOKUP('Tanuló kiutazások'!C11,Segédlet!$C$5:$G$37,4,0),0),0),"")</f>
        <v/>
      </c>
      <c r="Q7" s="15" t="str">
        <f>IF('Tanuló kiutazások'!B11&lt;&gt;"",IF(AND('Tanuló kiutazások'!Z11="Jogosult igényelni",'Tanuló kiutazások'!AD11&gt;0),'Tanuló kiutazások'!AA11,0),"")</f>
        <v/>
      </c>
      <c r="R7" s="15" t="str">
        <f>IF('Tanuló kiutazások'!B11&lt;&gt;"",IF(AND('Tanuló kiutazások'!Z11="Jogosult igényelni",'Tanuló kiutazások'!AD11&gt;0),1,0),"")</f>
        <v/>
      </c>
      <c r="S7" s="15" t="str">
        <f>IF('Tanuló kiutazások'!B11&lt;&gt;"",IF('Tanuló kiutazások'!Z11="Jogosult igényelni",IF(AND('Tanuló kiutazások'!AC11&gt;0,'Tanuló kiutazások'!AF11&gt;0),(1+'Tanuló kiutazások'!AA11-'Tanuló kiutazások'!AC11)*VLOOKUP('Tanuló kiutazások'!P11,$I$5:$J$12,2,0),IF('Tanuló kiutazások'!AD11&gt;0,(1+'Tanuló kiutazások'!AA11)*VLOOKUP('Tanuló kiutazások'!P11,$I$5:$J$12,2,0),0)),0),"")</f>
        <v/>
      </c>
      <c r="T7" s="15" t="str">
        <f t="shared" si="0"/>
        <v/>
      </c>
      <c r="U7" s="15" t="str">
        <f t="shared" si="1"/>
        <v/>
      </c>
      <c r="V7" s="15" t="str">
        <f>IF('Tanuló kiutazások'!AD11&gt;0,'Tanuló kiutazások'!AD11,0)</f>
        <v/>
      </c>
      <c r="W7" s="15" t="str">
        <f t="shared" si="2"/>
        <v/>
      </c>
      <c r="X7" s="23" t="str">
        <f>IF('Tanuló kiutazások'!B11&lt;&gt;"",'Tanuló kiutazások'!G11*'Tanuló kiutazások'!N11,"")</f>
        <v/>
      </c>
      <c r="Y7" s="23" t="str">
        <f>IF('Tanuló kiutazások'!B11&lt;&gt;"",('Tanuló kiutazások'!L11+'Tanuló kiutazások'!M11)*'Tanuló kiutazások'!K11,"")</f>
        <v/>
      </c>
      <c r="Z7" s="15" t="str">
        <f>IF('Munkatárs kiutazások'!B11&lt;&gt;"",'Munkatárs kiutazások'!G11*'Munkatárs kiutazások'!K11,"")</f>
        <v/>
      </c>
      <c r="AA7" s="15" t="str">
        <f>IF('Munkatárs kiutazások'!B11&lt;&gt;"",'Munkatárs kiutazások'!G11*'Munkatárs kiutazások'!J11,"")</f>
        <v/>
      </c>
    </row>
    <row r="8" spans="2:27" x14ac:dyDescent="0.25">
      <c r="B8" s="111" t="str">
        <f t="shared" si="3"/>
        <v>2. országcsoport</v>
      </c>
      <c r="C8" s="112" t="s">
        <v>17</v>
      </c>
      <c r="D8" s="113">
        <v>49</v>
      </c>
      <c r="E8" s="113">
        <f t="shared" si="4"/>
        <v>34</v>
      </c>
      <c r="F8" s="113">
        <f t="shared" si="5"/>
        <v>99</v>
      </c>
      <c r="G8" s="114">
        <f t="shared" si="6"/>
        <v>70</v>
      </c>
      <c r="I8" s="115" t="s">
        <v>8</v>
      </c>
      <c r="J8" s="116">
        <v>275</v>
      </c>
      <c r="L8" s="117" t="s">
        <v>90</v>
      </c>
      <c r="N8" s="15" t="str">
        <f>IF(AND('Tanuló kiutazások'!AD12&lt;&gt;"",'Tanuló kiutazások'!AD12&gt;0),'Tanuló kiutazások'!D12,"")</f>
        <v/>
      </c>
      <c r="O8" s="15" t="str">
        <f>IF('Tanuló kiutazások'!B12&lt;&gt;"",IF('Tanuló kiutazások'!Z12="Jogosult igényelni",IF('Tanuló kiutazások'!AD12&gt;0,'Tanuló kiutazások'!AA12*'Tanuló kiutazások'!AD12*VLOOKUP('Tanuló kiutazások'!C12,Segédlet!$C$5:$G$37,4,0),0),0),"")</f>
        <v/>
      </c>
      <c r="P8" s="15" t="str">
        <f>IF('Tanuló kiutazások'!B12&lt;&gt;"",IF('Tanuló kiutazások'!Z12="Jogosult igényelni",IF('Tanuló kiutazások'!AD12&gt;0,1*'Tanuló kiutazások'!AD12*VLOOKUP('Tanuló kiutazások'!C12,Segédlet!$C$5:$G$37,4,0),0),0),"")</f>
        <v/>
      </c>
      <c r="Q8" s="15" t="str">
        <f>IF('Tanuló kiutazások'!B12&lt;&gt;"",IF(AND('Tanuló kiutazások'!Z12="Jogosult igényelni",'Tanuló kiutazások'!AD12&gt;0),'Tanuló kiutazások'!AA12,0),"")</f>
        <v/>
      </c>
      <c r="R8" s="15" t="str">
        <f>IF('Tanuló kiutazások'!B12&lt;&gt;"",IF(AND('Tanuló kiutazások'!Z12="Jogosult igényelni",'Tanuló kiutazások'!AD12&gt;0),1,0),"")</f>
        <v/>
      </c>
      <c r="S8" s="15" t="str">
        <f>IF('Tanuló kiutazások'!B12&lt;&gt;"",IF('Tanuló kiutazások'!Z12="Jogosult igényelni",IF(AND('Tanuló kiutazások'!AC12&gt;0,'Tanuló kiutazások'!AF12&gt;0),(1+'Tanuló kiutazások'!AA12-'Tanuló kiutazások'!AC12)*VLOOKUP('Tanuló kiutazások'!P12,$I$5:$J$12,2,0),IF('Tanuló kiutazások'!AD12&gt;0,(1+'Tanuló kiutazások'!AA12)*VLOOKUP('Tanuló kiutazások'!P12,$I$5:$J$12,2,0),0)),0),"")</f>
        <v/>
      </c>
      <c r="T8" s="15" t="str">
        <f t="shared" si="0"/>
        <v/>
      </c>
      <c r="U8" s="15" t="str">
        <f t="shared" si="1"/>
        <v/>
      </c>
      <c r="V8" s="15" t="str">
        <f>IF('Tanuló kiutazások'!AD12&gt;0,'Tanuló kiutazások'!AD12,0)</f>
        <v/>
      </c>
      <c r="W8" s="15" t="str">
        <f t="shared" si="2"/>
        <v/>
      </c>
      <c r="X8" s="23" t="str">
        <f>IF('Tanuló kiutazások'!B12&lt;&gt;"",'Tanuló kiutazások'!G12*'Tanuló kiutazások'!N12,"")</f>
        <v/>
      </c>
      <c r="Y8" s="23" t="str">
        <f>IF('Tanuló kiutazások'!B12&lt;&gt;"",('Tanuló kiutazások'!L12+'Tanuló kiutazások'!M12)*'Tanuló kiutazások'!K12,"")</f>
        <v/>
      </c>
      <c r="Z8" s="15" t="str">
        <f>IF('Munkatárs kiutazások'!B12&lt;&gt;"",'Munkatárs kiutazások'!G12*'Munkatárs kiutazások'!K12,"")</f>
        <v/>
      </c>
      <c r="AA8" s="15" t="str">
        <f>IF('Munkatárs kiutazások'!B12&lt;&gt;"",'Munkatárs kiutazások'!G12*'Munkatárs kiutazások'!J12,"")</f>
        <v/>
      </c>
    </row>
    <row r="9" spans="2:27" ht="15.75" thickBot="1" x14ac:dyDescent="0.3">
      <c r="B9" s="111" t="str">
        <f t="shared" si="3"/>
        <v>3. országcsoport</v>
      </c>
      <c r="C9" s="112" t="s">
        <v>18</v>
      </c>
      <c r="D9" s="113">
        <v>41</v>
      </c>
      <c r="E9" s="113">
        <f t="shared" si="4"/>
        <v>29</v>
      </c>
      <c r="F9" s="113">
        <f t="shared" si="5"/>
        <v>87</v>
      </c>
      <c r="G9" s="114">
        <f t="shared" si="6"/>
        <v>61</v>
      </c>
      <c r="I9" s="115" t="s">
        <v>9</v>
      </c>
      <c r="J9" s="116">
        <v>360</v>
      </c>
      <c r="L9" s="118" t="s">
        <v>91</v>
      </c>
      <c r="N9" s="15" t="str">
        <f>IF(AND('Tanuló kiutazások'!AD13&lt;&gt;"",'Tanuló kiutazások'!AD13&gt;0),'Tanuló kiutazások'!D13,"")</f>
        <v/>
      </c>
      <c r="O9" s="15" t="str">
        <f>IF('Tanuló kiutazások'!B13&lt;&gt;"",IF('Tanuló kiutazások'!Z13="Jogosult igényelni",IF('Tanuló kiutazások'!AD13&gt;0,'Tanuló kiutazások'!AA13*'Tanuló kiutazások'!AD13*VLOOKUP('Tanuló kiutazások'!C13,Segédlet!$C$5:$G$37,4,0),0),0),"")</f>
        <v/>
      </c>
      <c r="P9" s="15" t="str">
        <f>IF('Tanuló kiutazások'!B13&lt;&gt;"",IF('Tanuló kiutazások'!Z13="Jogosult igényelni",IF('Tanuló kiutazások'!AD13&gt;0,1*'Tanuló kiutazások'!AD13*VLOOKUP('Tanuló kiutazások'!C13,Segédlet!$C$5:$G$37,4,0),0),0),"")</f>
        <v/>
      </c>
      <c r="Q9" s="15" t="str">
        <f>IF('Tanuló kiutazások'!B13&lt;&gt;"",IF(AND('Tanuló kiutazások'!Z13="Jogosult igényelni",'Tanuló kiutazások'!AD13&gt;0),'Tanuló kiutazások'!AA13,0),"")</f>
        <v/>
      </c>
      <c r="R9" s="15" t="str">
        <f>IF('Tanuló kiutazások'!B13&lt;&gt;"",IF(AND('Tanuló kiutazások'!Z13="Jogosult igényelni",'Tanuló kiutazások'!AD13&gt;0),1,0),"")</f>
        <v/>
      </c>
      <c r="S9" s="15" t="str">
        <f>IF('Tanuló kiutazások'!B13&lt;&gt;"",IF('Tanuló kiutazások'!Z13="Jogosult igényelni",IF(AND('Tanuló kiutazások'!AC13&gt;0,'Tanuló kiutazások'!AF13&gt;0),(1+'Tanuló kiutazások'!AA13-'Tanuló kiutazások'!AC13)*VLOOKUP('Tanuló kiutazások'!P13,$I$5:$J$12,2,0),IF('Tanuló kiutazások'!AD13&gt;0,(1+'Tanuló kiutazások'!AA13)*VLOOKUP('Tanuló kiutazások'!P13,$I$5:$J$12,2,0),0)),0),"")</f>
        <v/>
      </c>
      <c r="T9" s="15" t="str">
        <f t="shared" si="0"/>
        <v/>
      </c>
      <c r="U9" s="15" t="str">
        <f t="shared" si="1"/>
        <v/>
      </c>
      <c r="V9" s="15" t="str">
        <f>IF('Tanuló kiutazások'!AD13&gt;0,'Tanuló kiutazások'!AD13,0)</f>
        <v/>
      </c>
      <c r="W9" s="15" t="str">
        <f t="shared" si="2"/>
        <v/>
      </c>
      <c r="X9" s="23" t="str">
        <f>IF('Tanuló kiutazások'!B13&lt;&gt;"",'Tanuló kiutazások'!G13*'Tanuló kiutazások'!N13,"")</f>
        <v/>
      </c>
      <c r="Y9" s="23" t="str">
        <f>IF('Tanuló kiutazások'!B13&lt;&gt;"",('Tanuló kiutazások'!L13+'Tanuló kiutazások'!M13)*'Tanuló kiutazások'!K13,"")</f>
        <v/>
      </c>
      <c r="Z9" s="15" t="str">
        <f>IF('Munkatárs kiutazások'!B13&lt;&gt;"",'Munkatárs kiutazások'!G13*'Munkatárs kiutazások'!K13,"")</f>
        <v/>
      </c>
      <c r="AA9" s="15" t="str">
        <f>IF('Munkatárs kiutazások'!B13&lt;&gt;"",'Munkatárs kiutazások'!G13*'Munkatárs kiutazások'!J13,"")</f>
        <v/>
      </c>
    </row>
    <row r="10" spans="2:27" x14ac:dyDescent="0.25">
      <c r="B10" s="111" t="str">
        <f t="shared" si="3"/>
        <v>2. országcsoport</v>
      </c>
      <c r="C10" s="112" t="s">
        <v>19</v>
      </c>
      <c r="D10" s="113">
        <v>49</v>
      </c>
      <c r="E10" s="113">
        <f t="shared" si="4"/>
        <v>34</v>
      </c>
      <c r="F10" s="113">
        <f t="shared" si="5"/>
        <v>99</v>
      </c>
      <c r="G10" s="114">
        <f t="shared" si="6"/>
        <v>70</v>
      </c>
      <c r="I10" s="115" t="s">
        <v>10</v>
      </c>
      <c r="J10" s="116">
        <v>530</v>
      </c>
      <c r="N10" s="15" t="str">
        <f>IF(AND('Tanuló kiutazások'!AD14&lt;&gt;"",'Tanuló kiutazások'!AD14&gt;0),'Tanuló kiutazások'!D14,"")</f>
        <v/>
      </c>
      <c r="O10" s="15" t="str">
        <f>IF('Tanuló kiutazások'!B14&lt;&gt;"",IF('Tanuló kiutazások'!Z14="Jogosult igényelni",IF('Tanuló kiutazások'!AD14&gt;0,'Tanuló kiutazások'!AA14*'Tanuló kiutazások'!AD14*VLOOKUP('Tanuló kiutazások'!C14,Segédlet!$C$5:$G$37,4,0),0),0),"")</f>
        <v/>
      </c>
      <c r="P10" s="15" t="str">
        <f>IF('Tanuló kiutazások'!B14&lt;&gt;"",IF('Tanuló kiutazások'!Z14="Jogosult igényelni",IF('Tanuló kiutazások'!AD14&gt;0,1*'Tanuló kiutazások'!AD14*VLOOKUP('Tanuló kiutazások'!C14,Segédlet!$C$5:$G$37,4,0),0),0),"")</f>
        <v/>
      </c>
      <c r="Q10" s="15" t="str">
        <f>IF('Tanuló kiutazások'!B14&lt;&gt;"",IF(AND('Tanuló kiutazások'!Z14="Jogosult igényelni",'Tanuló kiutazások'!AD14&gt;0),'Tanuló kiutazások'!AA14,0),"")</f>
        <v/>
      </c>
      <c r="R10" s="15" t="str">
        <f>IF('Tanuló kiutazások'!B14&lt;&gt;"",IF(AND('Tanuló kiutazások'!Z14="Jogosult igényelni",'Tanuló kiutazások'!AD14&gt;0),1,0),"")</f>
        <v/>
      </c>
      <c r="S10" s="15" t="str">
        <f>IF('Tanuló kiutazások'!B14&lt;&gt;"",IF('Tanuló kiutazások'!Z14="Jogosult igényelni",IF(AND('Tanuló kiutazások'!AC14&gt;0,'Tanuló kiutazások'!AF14&gt;0),(1+'Tanuló kiutazások'!AA14-'Tanuló kiutazások'!AC14)*VLOOKUP('Tanuló kiutazások'!P14,$I$5:$J$12,2,0),IF('Tanuló kiutazások'!AD14&gt;0,(1+'Tanuló kiutazások'!AA14)*VLOOKUP('Tanuló kiutazások'!P14,$I$5:$J$12,2,0),0)),0),"")</f>
        <v/>
      </c>
      <c r="T10" s="15" t="str">
        <f t="shared" si="0"/>
        <v/>
      </c>
      <c r="U10" s="15" t="str">
        <f t="shared" si="1"/>
        <v/>
      </c>
      <c r="V10" s="15" t="str">
        <f>IF('Tanuló kiutazások'!AD14&gt;0,'Tanuló kiutazások'!AD14,0)</f>
        <v/>
      </c>
      <c r="W10" s="15" t="str">
        <f t="shared" si="2"/>
        <v/>
      </c>
      <c r="X10" s="23" t="str">
        <f>IF('Tanuló kiutazások'!B14&lt;&gt;"",'Tanuló kiutazások'!G14*'Tanuló kiutazások'!N14,"")</f>
        <v/>
      </c>
      <c r="Y10" s="23" t="str">
        <f>IF('Tanuló kiutazások'!B14&lt;&gt;"",('Tanuló kiutazások'!L14+'Tanuló kiutazások'!M14)*'Tanuló kiutazások'!K14,"")</f>
        <v/>
      </c>
      <c r="Z10" s="15" t="str">
        <f>IF('Munkatárs kiutazások'!B14&lt;&gt;"",'Munkatárs kiutazások'!G14*'Munkatárs kiutazások'!K14,"")</f>
        <v/>
      </c>
      <c r="AA10" s="15" t="str">
        <f>IF('Munkatárs kiutazások'!B14&lt;&gt;"",'Munkatárs kiutazások'!G14*'Munkatárs kiutazások'!J14,"")</f>
        <v/>
      </c>
    </row>
    <row r="11" spans="2:27" x14ac:dyDescent="0.25">
      <c r="B11" s="111" t="str">
        <f t="shared" si="3"/>
        <v>1. országcsoport</v>
      </c>
      <c r="C11" s="112" t="s">
        <v>20</v>
      </c>
      <c r="D11" s="113">
        <v>56</v>
      </c>
      <c r="E11" s="113">
        <f t="shared" si="4"/>
        <v>39</v>
      </c>
      <c r="F11" s="113">
        <f t="shared" si="5"/>
        <v>112</v>
      </c>
      <c r="G11" s="114">
        <f t="shared" si="6"/>
        <v>80</v>
      </c>
      <c r="I11" s="115" t="s">
        <v>11</v>
      </c>
      <c r="J11" s="116">
        <v>820</v>
      </c>
      <c r="N11" s="15" t="str">
        <f>IF(AND('Tanuló kiutazások'!AD15&lt;&gt;"",'Tanuló kiutazások'!AD15&gt;0),'Tanuló kiutazások'!D15,"")</f>
        <v/>
      </c>
      <c r="O11" s="15" t="str">
        <f>IF('Tanuló kiutazások'!B15&lt;&gt;"",IF('Tanuló kiutazások'!Z15="Jogosult igényelni",IF('Tanuló kiutazások'!AD15&gt;0,'Tanuló kiutazások'!AA15*'Tanuló kiutazások'!AD15*VLOOKUP('Tanuló kiutazások'!C15,Segédlet!$C$5:$G$37,4,0),0),0),"")</f>
        <v/>
      </c>
      <c r="P11" s="15" t="str">
        <f>IF('Tanuló kiutazások'!B15&lt;&gt;"",IF('Tanuló kiutazások'!Z15="Jogosult igényelni",IF('Tanuló kiutazások'!AD15&gt;0,1*'Tanuló kiutazások'!AD15*VLOOKUP('Tanuló kiutazások'!C15,Segédlet!$C$5:$G$37,4,0),0),0),"")</f>
        <v/>
      </c>
      <c r="Q11" s="15" t="str">
        <f>IF('Tanuló kiutazások'!B15&lt;&gt;"",IF(AND('Tanuló kiutazások'!Z15="Jogosult igényelni",'Tanuló kiutazások'!AD15&gt;0),'Tanuló kiutazások'!AA15,0),"")</f>
        <v/>
      </c>
      <c r="R11" s="15" t="str">
        <f>IF('Tanuló kiutazások'!B15&lt;&gt;"",IF(AND('Tanuló kiutazások'!Z15="Jogosult igényelni",'Tanuló kiutazások'!AD15&gt;0),1,0),"")</f>
        <v/>
      </c>
      <c r="S11" s="15" t="str">
        <f>IF('Tanuló kiutazások'!B15&lt;&gt;"",IF('Tanuló kiutazások'!Z15="Jogosult igényelni",IF(AND('Tanuló kiutazások'!AC15&gt;0,'Tanuló kiutazások'!AF15&gt;0),(1+'Tanuló kiutazások'!AA15-'Tanuló kiutazások'!AC15)*VLOOKUP('Tanuló kiutazások'!P15,$I$5:$J$12,2,0),IF('Tanuló kiutazások'!AD15&gt;0,(1+'Tanuló kiutazások'!AA15)*VLOOKUP('Tanuló kiutazások'!P15,$I$5:$J$12,2,0),0)),0),"")</f>
        <v/>
      </c>
      <c r="T11" s="15" t="str">
        <f t="shared" si="0"/>
        <v/>
      </c>
      <c r="U11" s="15" t="str">
        <f t="shared" si="1"/>
        <v/>
      </c>
      <c r="V11" s="15" t="str">
        <f>IF('Tanuló kiutazások'!AD15&gt;0,'Tanuló kiutazások'!AD15,0)</f>
        <v/>
      </c>
      <c r="W11" s="15" t="str">
        <f t="shared" si="2"/>
        <v/>
      </c>
      <c r="X11" s="23" t="str">
        <f>IF('Tanuló kiutazások'!B15&lt;&gt;"",'Tanuló kiutazások'!G15*'Tanuló kiutazások'!N15,"")</f>
        <v/>
      </c>
      <c r="Y11" s="23" t="str">
        <f>IF('Tanuló kiutazások'!B15&lt;&gt;"",('Tanuló kiutazások'!L15+'Tanuló kiutazások'!M15)*'Tanuló kiutazások'!K15,"")</f>
        <v/>
      </c>
      <c r="Z11" s="15" t="str">
        <f>IF('Munkatárs kiutazások'!B15&lt;&gt;"",'Munkatárs kiutazások'!G15*'Munkatárs kiutazások'!K15,"")</f>
        <v/>
      </c>
      <c r="AA11" s="15" t="str">
        <f>IF('Munkatárs kiutazások'!B15&lt;&gt;"",'Munkatárs kiutazások'!G15*'Munkatárs kiutazások'!J15,"")</f>
        <v/>
      </c>
    </row>
    <row r="12" spans="2:27" ht="15.75" thickBot="1" x14ac:dyDescent="0.3">
      <c r="B12" s="111" t="str">
        <f t="shared" si="3"/>
        <v>3. országcsoport</v>
      </c>
      <c r="C12" s="112" t="s">
        <v>21</v>
      </c>
      <c r="D12" s="113">
        <v>41</v>
      </c>
      <c r="E12" s="113">
        <f t="shared" si="4"/>
        <v>29</v>
      </c>
      <c r="F12" s="113">
        <f t="shared" si="5"/>
        <v>87</v>
      </c>
      <c r="G12" s="114">
        <f t="shared" si="6"/>
        <v>61</v>
      </c>
      <c r="I12" s="119" t="s">
        <v>48</v>
      </c>
      <c r="J12" s="120">
        <v>1500</v>
      </c>
      <c r="N12" s="15" t="str">
        <f>IF(AND('Tanuló kiutazások'!AD16&lt;&gt;"",'Tanuló kiutazások'!AD16&gt;0),'Tanuló kiutazások'!D16,"")</f>
        <v/>
      </c>
      <c r="O12" s="15" t="str">
        <f>IF('Tanuló kiutazások'!B16&lt;&gt;"",IF('Tanuló kiutazások'!Z16="Jogosult igényelni",IF('Tanuló kiutazások'!AD16&gt;0,'Tanuló kiutazások'!AA16*'Tanuló kiutazások'!AD16*VLOOKUP('Tanuló kiutazások'!C16,Segédlet!$C$5:$G$37,4,0),0),0),"")</f>
        <v/>
      </c>
      <c r="P12" s="15" t="str">
        <f>IF('Tanuló kiutazások'!B16&lt;&gt;"",IF('Tanuló kiutazások'!Z16="Jogosult igényelni",IF('Tanuló kiutazások'!AD16&gt;0,1*'Tanuló kiutazások'!AD16*VLOOKUP('Tanuló kiutazások'!C16,Segédlet!$C$5:$G$37,4,0),0),0),"")</f>
        <v/>
      </c>
      <c r="Q12" s="15" t="str">
        <f>IF('Tanuló kiutazások'!B16&lt;&gt;"",IF(AND('Tanuló kiutazások'!Z16="Jogosult igényelni",'Tanuló kiutazások'!AD16&gt;0),'Tanuló kiutazások'!AA16,0),"")</f>
        <v/>
      </c>
      <c r="R12" s="15" t="str">
        <f>IF('Tanuló kiutazások'!B16&lt;&gt;"",IF(AND('Tanuló kiutazások'!Z16="Jogosult igényelni",'Tanuló kiutazások'!AD16&gt;0),1,0),"")</f>
        <v/>
      </c>
      <c r="S12" s="15" t="str">
        <f>IF('Tanuló kiutazások'!B16&lt;&gt;"",IF('Tanuló kiutazások'!Z16="Jogosult igényelni",IF(AND('Tanuló kiutazások'!AC16&gt;0,'Tanuló kiutazások'!AF16&gt;0),(1+'Tanuló kiutazások'!AA16-'Tanuló kiutazások'!AC16)*VLOOKUP('Tanuló kiutazások'!P16,$I$5:$J$12,2,0),IF('Tanuló kiutazások'!AD16&gt;0,(1+'Tanuló kiutazások'!AA16)*VLOOKUP('Tanuló kiutazások'!P16,$I$5:$J$12,2,0),0)),0),"")</f>
        <v/>
      </c>
      <c r="T12" s="15" t="str">
        <f t="shared" si="0"/>
        <v/>
      </c>
      <c r="U12" s="15" t="str">
        <f t="shared" si="1"/>
        <v/>
      </c>
      <c r="V12" s="15" t="str">
        <f>IF('Tanuló kiutazások'!AD16&gt;0,'Tanuló kiutazások'!AD16,0)</f>
        <v/>
      </c>
      <c r="W12" s="15" t="str">
        <f t="shared" si="2"/>
        <v/>
      </c>
      <c r="X12" s="23" t="str">
        <f>IF('Tanuló kiutazások'!B16&lt;&gt;"",'Tanuló kiutazások'!G16*'Tanuló kiutazások'!N16,"")</f>
        <v/>
      </c>
      <c r="Y12" s="23" t="str">
        <f>IF('Tanuló kiutazások'!B16&lt;&gt;"",('Tanuló kiutazások'!L16+'Tanuló kiutazások'!M16)*'Tanuló kiutazások'!K16,"")</f>
        <v/>
      </c>
      <c r="Z12" s="15" t="str">
        <f>IF('Munkatárs kiutazások'!B16&lt;&gt;"",'Munkatárs kiutazások'!G16*'Munkatárs kiutazások'!K16,"")</f>
        <v/>
      </c>
      <c r="AA12" s="15" t="str">
        <f>IF('Munkatárs kiutazások'!B16&lt;&gt;"",'Munkatárs kiutazások'!G16*'Munkatárs kiutazások'!J16,"")</f>
        <v/>
      </c>
    </row>
    <row r="13" spans="2:27" x14ac:dyDescent="0.25">
      <c r="B13" s="111" t="str">
        <f t="shared" si="3"/>
        <v>2. országcsoport</v>
      </c>
      <c r="C13" s="112" t="s">
        <v>22</v>
      </c>
      <c r="D13" s="113">
        <v>49</v>
      </c>
      <c r="E13" s="113">
        <f t="shared" si="4"/>
        <v>34</v>
      </c>
      <c r="F13" s="113">
        <f t="shared" si="5"/>
        <v>99</v>
      </c>
      <c r="G13" s="114">
        <f t="shared" si="6"/>
        <v>70</v>
      </c>
      <c r="N13" s="15" t="str">
        <f>IF(AND('Tanuló kiutazások'!AD17&lt;&gt;"",'Tanuló kiutazások'!AD17&gt;0),'Tanuló kiutazások'!D17,"")</f>
        <v/>
      </c>
      <c r="O13" s="15" t="str">
        <f>IF('Tanuló kiutazások'!B17&lt;&gt;"",IF('Tanuló kiutazások'!Z17="Jogosult igényelni",IF('Tanuló kiutazások'!AD17&gt;0,'Tanuló kiutazások'!AA17*'Tanuló kiutazások'!AD17*VLOOKUP('Tanuló kiutazások'!C17,Segédlet!$C$5:$G$37,4,0),0),0),"")</f>
        <v/>
      </c>
      <c r="P13" s="15" t="str">
        <f>IF('Tanuló kiutazások'!B17&lt;&gt;"",IF('Tanuló kiutazások'!Z17="Jogosult igényelni",IF('Tanuló kiutazások'!AD17&gt;0,1*'Tanuló kiutazások'!AD17*VLOOKUP('Tanuló kiutazások'!C17,Segédlet!$C$5:$G$37,4,0),0),0),"")</f>
        <v/>
      </c>
      <c r="Q13" s="15" t="str">
        <f>IF('Tanuló kiutazások'!B17&lt;&gt;"",IF(AND('Tanuló kiutazások'!Z17="Jogosult igényelni",'Tanuló kiutazások'!AD17&gt;0),'Tanuló kiutazások'!AA17,0),"")</f>
        <v/>
      </c>
      <c r="R13" s="15" t="str">
        <f>IF('Tanuló kiutazások'!B17&lt;&gt;"",IF(AND('Tanuló kiutazások'!Z17="Jogosult igényelni",'Tanuló kiutazások'!AD17&gt;0),1,0),"")</f>
        <v/>
      </c>
      <c r="S13" s="15" t="str">
        <f>IF('Tanuló kiutazások'!B17&lt;&gt;"",IF('Tanuló kiutazások'!Z17="Jogosult igényelni",IF(AND('Tanuló kiutazások'!AC17&gt;0,'Tanuló kiutazások'!AF17&gt;0),(1+'Tanuló kiutazások'!AA17-'Tanuló kiutazások'!AC17)*VLOOKUP('Tanuló kiutazások'!P17,$I$5:$J$12,2,0),IF('Tanuló kiutazások'!AD17&gt;0,(1+'Tanuló kiutazások'!AA17)*VLOOKUP('Tanuló kiutazások'!P17,$I$5:$J$12,2,0),0)),0),"")</f>
        <v/>
      </c>
      <c r="T13" s="15" t="str">
        <f t="shared" si="0"/>
        <v/>
      </c>
      <c r="U13" s="15" t="str">
        <f t="shared" si="1"/>
        <v/>
      </c>
      <c r="V13" s="15" t="str">
        <f>IF('Tanuló kiutazások'!AD17&gt;0,'Tanuló kiutazások'!AD17,0)</f>
        <v/>
      </c>
      <c r="W13" s="15" t="str">
        <f t="shared" si="2"/>
        <v/>
      </c>
      <c r="X13" s="23" t="str">
        <f>IF('Tanuló kiutazások'!B17&lt;&gt;"",'Tanuló kiutazások'!G17*'Tanuló kiutazások'!N17,"")</f>
        <v/>
      </c>
      <c r="Y13" s="23" t="str">
        <f>IF('Tanuló kiutazások'!B17&lt;&gt;"",('Tanuló kiutazások'!L17+'Tanuló kiutazások'!M17)*'Tanuló kiutazások'!K17,"")</f>
        <v/>
      </c>
      <c r="Z13" s="15" t="str">
        <f>IF('Munkatárs kiutazások'!B17&lt;&gt;"",'Munkatárs kiutazások'!G17*'Munkatárs kiutazások'!K17,"")</f>
        <v/>
      </c>
      <c r="AA13" s="15" t="str">
        <f>IF('Munkatárs kiutazások'!B17&lt;&gt;"",'Munkatárs kiutazások'!G17*'Munkatárs kiutazások'!J17,"")</f>
        <v/>
      </c>
    </row>
    <row r="14" spans="2:27" x14ac:dyDescent="0.25">
      <c r="B14" s="111" t="str">
        <f t="shared" si="3"/>
        <v>2. országcsoport</v>
      </c>
      <c r="C14" s="112" t="s">
        <v>23</v>
      </c>
      <c r="D14" s="113">
        <v>49</v>
      </c>
      <c r="E14" s="113">
        <f t="shared" si="4"/>
        <v>34</v>
      </c>
      <c r="F14" s="113">
        <f t="shared" si="5"/>
        <v>99</v>
      </c>
      <c r="G14" s="114">
        <f t="shared" si="6"/>
        <v>70</v>
      </c>
      <c r="N14" s="15" t="str">
        <f>IF(AND('Tanuló kiutazások'!AD18&lt;&gt;"",'Tanuló kiutazások'!AD18&gt;0),'Tanuló kiutazások'!D18,"")</f>
        <v/>
      </c>
      <c r="O14" s="15" t="str">
        <f>IF('Tanuló kiutazások'!B18&lt;&gt;"",IF('Tanuló kiutazások'!Z18="Jogosult igényelni",IF('Tanuló kiutazások'!AD18&gt;0,'Tanuló kiutazások'!AA18*'Tanuló kiutazások'!AD18*VLOOKUP('Tanuló kiutazások'!C18,Segédlet!$C$5:$G$37,4,0),0),0),"")</f>
        <v/>
      </c>
      <c r="P14" s="15" t="str">
        <f>IF('Tanuló kiutazások'!B18&lt;&gt;"",IF('Tanuló kiutazások'!Z18="Jogosult igényelni",IF('Tanuló kiutazások'!AD18&gt;0,1*'Tanuló kiutazások'!AD18*VLOOKUP('Tanuló kiutazások'!C18,Segédlet!$C$5:$G$37,4,0),0),0),"")</f>
        <v/>
      </c>
      <c r="Q14" s="15" t="str">
        <f>IF('Tanuló kiutazások'!B18&lt;&gt;"",IF(AND('Tanuló kiutazások'!Z18="Jogosult igényelni",'Tanuló kiutazások'!AD18&gt;0),'Tanuló kiutazások'!AA18,0),"")</f>
        <v/>
      </c>
      <c r="R14" s="15" t="str">
        <f>IF('Tanuló kiutazások'!B18&lt;&gt;"",IF(AND('Tanuló kiutazások'!Z18="Jogosult igényelni",'Tanuló kiutazások'!AD18&gt;0),1,0),"")</f>
        <v/>
      </c>
      <c r="S14" s="15" t="str">
        <f>IF('Tanuló kiutazások'!B18&lt;&gt;"",IF('Tanuló kiutazások'!Z18="Jogosult igényelni",IF(AND('Tanuló kiutazások'!AC18&gt;0,'Tanuló kiutazások'!AF18&gt;0),(1+'Tanuló kiutazások'!AA18-'Tanuló kiutazások'!AC18)*VLOOKUP('Tanuló kiutazások'!P18,$I$5:$J$12,2,0),IF('Tanuló kiutazások'!AD18&gt;0,(1+'Tanuló kiutazások'!AA18)*VLOOKUP('Tanuló kiutazások'!P18,$I$5:$J$12,2,0),0)),0),"")</f>
        <v/>
      </c>
      <c r="T14" s="15" t="str">
        <f t="shared" si="0"/>
        <v/>
      </c>
      <c r="U14" s="15" t="str">
        <f t="shared" si="1"/>
        <v/>
      </c>
      <c r="V14" s="15" t="str">
        <f>IF('Tanuló kiutazások'!AD18&gt;0,'Tanuló kiutazások'!AD18,0)</f>
        <v/>
      </c>
      <c r="W14" s="15" t="str">
        <f t="shared" si="2"/>
        <v/>
      </c>
      <c r="X14" s="23" t="str">
        <f>IF('Tanuló kiutazások'!B18&lt;&gt;"",'Tanuló kiutazások'!G18*'Tanuló kiutazások'!N18,"")</f>
        <v/>
      </c>
      <c r="Y14" s="23" t="str">
        <f>IF('Tanuló kiutazások'!B18&lt;&gt;"",('Tanuló kiutazások'!L18+'Tanuló kiutazások'!M18)*'Tanuló kiutazások'!K18,"")</f>
        <v/>
      </c>
      <c r="Z14" s="15" t="str">
        <f>IF('Munkatárs kiutazások'!B18&lt;&gt;"",'Munkatárs kiutazások'!G18*'Munkatárs kiutazások'!K18,"")</f>
        <v/>
      </c>
      <c r="AA14" s="15" t="str">
        <f>IF('Munkatárs kiutazások'!B18&lt;&gt;"",'Munkatárs kiutazások'!G18*'Munkatárs kiutazások'!J18,"")</f>
        <v/>
      </c>
    </row>
    <row r="15" spans="2:27" x14ac:dyDescent="0.25">
      <c r="B15" s="111" t="str">
        <f t="shared" si="3"/>
        <v>1. országcsoport</v>
      </c>
      <c r="C15" s="112" t="s">
        <v>24</v>
      </c>
      <c r="D15" s="113">
        <v>56</v>
      </c>
      <c r="E15" s="113">
        <f t="shared" si="4"/>
        <v>39</v>
      </c>
      <c r="F15" s="113">
        <f t="shared" si="5"/>
        <v>112</v>
      </c>
      <c r="G15" s="114">
        <f t="shared" si="6"/>
        <v>80</v>
      </c>
      <c r="N15" s="15" t="str">
        <f>IF(AND('Tanuló kiutazások'!AD19&lt;&gt;"",'Tanuló kiutazások'!AD19&gt;0),'Tanuló kiutazások'!D19,"")</f>
        <v/>
      </c>
      <c r="O15" s="15" t="str">
        <f>IF('Tanuló kiutazások'!B19&lt;&gt;"",IF('Tanuló kiutazások'!Z19="Jogosult igényelni",IF('Tanuló kiutazások'!AD19&gt;0,'Tanuló kiutazások'!AA19*'Tanuló kiutazások'!AD19*VLOOKUP('Tanuló kiutazások'!C19,Segédlet!$C$5:$G$37,4,0),0),0),"")</f>
        <v/>
      </c>
      <c r="P15" s="15" t="str">
        <f>IF('Tanuló kiutazások'!B19&lt;&gt;"",IF('Tanuló kiutazások'!Z19="Jogosult igényelni",IF('Tanuló kiutazások'!AD19&gt;0,1*'Tanuló kiutazások'!AD19*VLOOKUP('Tanuló kiutazások'!C19,Segédlet!$C$5:$G$37,4,0),0),0),"")</f>
        <v/>
      </c>
      <c r="Q15" s="15" t="str">
        <f>IF('Tanuló kiutazások'!B19&lt;&gt;"",IF(AND('Tanuló kiutazások'!Z19="Jogosult igényelni",'Tanuló kiutazások'!AD19&gt;0),'Tanuló kiutazások'!AA19,0),"")</f>
        <v/>
      </c>
      <c r="R15" s="15" t="str">
        <f>IF('Tanuló kiutazások'!B19&lt;&gt;"",IF(AND('Tanuló kiutazások'!Z19="Jogosult igényelni",'Tanuló kiutazások'!AD19&gt;0),1,0),"")</f>
        <v/>
      </c>
      <c r="S15" s="15" t="str">
        <f>IF('Tanuló kiutazások'!B19&lt;&gt;"",IF('Tanuló kiutazások'!Z19="Jogosult igényelni",IF(AND('Tanuló kiutazások'!AC19&gt;0,'Tanuló kiutazások'!AF19&gt;0),(1+'Tanuló kiutazások'!AA19-'Tanuló kiutazások'!AC19)*VLOOKUP('Tanuló kiutazások'!P19,$I$5:$J$12,2,0),IF('Tanuló kiutazások'!AD19&gt;0,(1+'Tanuló kiutazások'!AA19)*VLOOKUP('Tanuló kiutazások'!P19,$I$5:$J$12,2,0),0)),0),"")</f>
        <v/>
      </c>
      <c r="T15" s="15" t="str">
        <f t="shared" si="0"/>
        <v/>
      </c>
      <c r="U15" s="15" t="str">
        <f t="shared" si="1"/>
        <v/>
      </c>
      <c r="V15" s="15" t="str">
        <f>IF('Tanuló kiutazások'!AD19&gt;0,'Tanuló kiutazások'!AD19,0)</f>
        <v/>
      </c>
      <c r="W15" s="15" t="str">
        <f t="shared" si="2"/>
        <v/>
      </c>
      <c r="X15" s="23" t="str">
        <f>IF('Tanuló kiutazások'!B19&lt;&gt;"",'Tanuló kiutazások'!G19*'Tanuló kiutazások'!N19,"")</f>
        <v/>
      </c>
      <c r="Y15" s="23" t="str">
        <f>IF('Tanuló kiutazások'!B19&lt;&gt;"",('Tanuló kiutazások'!L19+'Tanuló kiutazások'!M19)*'Tanuló kiutazások'!K19,"")</f>
        <v/>
      </c>
      <c r="Z15" s="15" t="str">
        <f>IF('Munkatárs kiutazások'!B19&lt;&gt;"",'Munkatárs kiutazások'!G19*'Munkatárs kiutazások'!K19,"")</f>
        <v/>
      </c>
      <c r="AA15" s="15" t="str">
        <f>IF('Munkatárs kiutazások'!B19&lt;&gt;"",'Munkatárs kiutazások'!G19*'Munkatárs kiutazások'!J19,"")</f>
        <v/>
      </c>
    </row>
    <row r="16" spans="2:27" x14ac:dyDescent="0.25">
      <c r="B16" s="111" t="str">
        <f t="shared" si="3"/>
        <v>2. országcsoport</v>
      </c>
      <c r="C16" s="112" t="s">
        <v>25</v>
      </c>
      <c r="D16" s="113">
        <v>49</v>
      </c>
      <c r="E16" s="113">
        <f t="shared" si="4"/>
        <v>34</v>
      </c>
      <c r="F16" s="113">
        <f t="shared" si="5"/>
        <v>99</v>
      </c>
      <c r="G16" s="114">
        <f t="shared" si="6"/>
        <v>70</v>
      </c>
      <c r="N16" s="15" t="str">
        <f>IF(AND('Tanuló kiutazások'!AD20&lt;&gt;"",'Tanuló kiutazások'!AD20&gt;0),'Tanuló kiutazások'!D20,"")</f>
        <v/>
      </c>
      <c r="O16" s="15" t="str">
        <f>IF('Tanuló kiutazások'!B20&lt;&gt;"",IF('Tanuló kiutazások'!Z20="Jogosult igényelni",IF('Tanuló kiutazások'!AD20&gt;0,'Tanuló kiutazások'!AA20*'Tanuló kiutazások'!AD20*VLOOKUP('Tanuló kiutazások'!C20,Segédlet!$C$5:$G$37,4,0),0),0),"")</f>
        <v/>
      </c>
      <c r="P16" s="15" t="str">
        <f>IF('Tanuló kiutazások'!B20&lt;&gt;"",IF('Tanuló kiutazások'!Z20="Jogosult igényelni",IF('Tanuló kiutazások'!AD20&gt;0,1*'Tanuló kiutazások'!AD20*VLOOKUP('Tanuló kiutazások'!C20,Segédlet!$C$5:$G$37,4,0),0),0),"")</f>
        <v/>
      </c>
      <c r="Q16" s="15" t="str">
        <f>IF('Tanuló kiutazások'!B20&lt;&gt;"",IF(AND('Tanuló kiutazások'!Z20="Jogosult igényelni",'Tanuló kiutazások'!AD20&gt;0),'Tanuló kiutazások'!AA20,0),"")</f>
        <v/>
      </c>
      <c r="R16" s="15" t="str">
        <f>IF('Tanuló kiutazások'!B20&lt;&gt;"",IF(AND('Tanuló kiutazások'!Z20="Jogosult igényelni",'Tanuló kiutazások'!AD20&gt;0),1,0),"")</f>
        <v/>
      </c>
      <c r="S16" s="15" t="str">
        <f>IF('Tanuló kiutazások'!B20&lt;&gt;"",IF('Tanuló kiutazások'!Z20="Jogosult igényelni",IF(AND('Tanuló kiutazások'!AC20&gt;0,'Tanuló kiutazások'!AF20&gt;0),(1+'Tanuló kiutazások'!AA20-'Tanuló kiutazások'!AC20)*VLOOKUP('Tanuló kiutazások'!P20,$I$5:$J$12,2,0),IF('Tanuló kiutazások'!AD20&gt;0,(1+'Tanuló kiutazások'!AA20)*VLOOKUP('Tanuló kiutazások'!P20,$I$5:$J$12,2,0),0)),0),"")</f>
        <v/>
      </c>
      <c r="T16" s="15" t="str">
        <f t="shared" si="0"/>
        <v/>
      </c>
      <c r="U16" s="15" t="str">
        <f t="shared" si="1"/>
        <v/>
      </c>
      <c r="V16" s="15" t="str">
        <f>IF('Tanuló kiutazások'!AD20&gt;0,'Tanuló kiutazások'!AD20,0)</f>
        <v/>
      </c>
      <c r="W16" s="15" t="str">
        <f t="shared" si="2"/>
        <v/>
      </c>
      <c r="X16" s="23" t="str">
        <f>IF('Tanuló kiutazások'!B20&lt;&gt;"",'Tanuló kiutazások'!G20*'Tanuló kiutazások'!N20,"")</f>
        <v/>
      </c>
      <c r="Y16" s="23" t="str">
        <f>IF('Tanuló kiutazások'!B20&lt;&gt;"",('Tanuló kiutazások'!L20+'Tanuló kiutazások'!M20)*'Tanuló kiutazások'!K20,"")</f>
        <v/>
      </c>
      <c r="Z16" s="15" t="str">
        <f>IF('Munkatárs kiutazások'!B20&lt;&gt;"",'Munkatárs kiutazások'!G20*'Munkatárs kiutazások'!K20,"")</f>
        <v/>
      </c>
      <c r="AA16" s="15" t="str">
        <f>IF('Munkatárs kiutazások'!B20&lt;&gt;"",'Munkatárs kiutazások'!G20*'Munkatárs kiutazások'!J20,"")</f>
        <v/>
      </c>
    </row>
    <row r="17" spans="2:27" x14ac:dyDescent="0.25">
      <c r="B17" s="111" t="str">
        <f t="shared" si="3"/>
        <v>3. országcsoport</v>
      </c>
      <c r="C17" s="112" t="s">
        <v>26</v>
      </c>
      <c r="D17" s="113">
        <v>41</v>
      </c>
      <c r="E17" s="113">
        <f t="shared" si="4"/>
        <v>29</v>
      </c>
      <c r="F17" s="113">
        <f t="shared" si="5"/>
        <v>87</v>
      </c>
      <c r="G17" s="114">
        <f t="shared" si="6"/>
        <v>61</v>
      </c>
      <c r="N17" s="15" t="str">
        <f>IF(AND('Tanuló kiutazások'!AD21&lt;&gt;"",'Tanuló kiutazások'!AD21&gt;0),'Tanuló kiutazások'!D21,"")</f>
        <v/>
      </c>
      <c r="O17" s="15" t="str">
        <f>IF('Tanuló kiutazások'!B21&lt;&gt;"",IF('Tanuló kiutazások'!Z21="Jogosult igényelni",IF('Tanuló kiutazások'!AD21&gt;0,'Tanuló kiutazások'!AA21*'Tanuló kiutazások'!AD21*VLOOKUP('Tanuló kiutazások'!C21,Segédlet!$C$5:$G$37,4,0),0),0),"")</f>
        <v/>
      </c>
      <c r="P17" s="15" t="str">
        <f>IF('Tanuló kiutazások'!B21&lt;&gt;"",IF('Tanuló kiutazások'!Z21="Jogosult igényelni",IF('Tanuló kiutazások'!AD21&gt;0,1*'Tanuló kiutazások'!AD21*VLOOKUP('Tanuló kiutazások'!C21,Segédlet!$C$5:$G$37,4,0),0),0),"")</f>
        <v/>
      </c>
      <c r="Q17" s="15" t="str">
        <f>IF('Tanuló kiutazások'!B21&lt;&gt;"",IF(AND('Tanuló kiutazások'!Z21="Jogosult igényelni",'Tanuló kiutazások'!AD21&gt;0),'Tanuló kiutazások'!AA21,0),"")</f>
        <v/>
      </c>
      <c r="R17" s="15" t="str">
        <f>IF('Tanuló kiutazások'!B21&lt;&gt;"",IF(AND('Tanuló kiutazások'!Z21="Jogosult igényelni",'Tanuló kiutazások'!AD21&gt;0),1,0),"")</f>
        <v/>
      </c>
      <c r="S17" s="15" t="str">
        <f>IF('Tanuló kiutazások'!B21&lt;&gt;"",IF('Tanuló kiutazások'!Z21="Jogosult igényelni",IF(AND('Tanuló kiutazások'!AC21&gt;0,'Tanuló kiutazások'!AF21&gt;0),(1+'Tanuló kiutazások'!AA21-'Tanuló kiutazások'!AC21)*VLOOKUP('Tanuló kiutazások'!P21,$I$5:$J$12,2,0),IF('Tanuló kiutazások'!AD21&gt;0,(1+'Tanuló kiutazások'!AA21)*VLOOKUP('Tanuló kiutazások'!P21,$I$5:$J$12,2,0),0)),0),"")</f>
        <v/>
      </c>
      <c r="T17" s="15" t="str">
        <f t="shared" si="0"/>
        <v/>
      </c>
      <c r="U17" s="15" t="str">
        <f t="shared" si="1"/>
        <v/>
      </c>
      <c r="V17" s="15" t="str">
        <f>IF('Tanuló kiutazások'!AD21&gt;0,'Tanuló kiutazások'!AD21,0)</f>
        <v/>
      </c>
      <c r="W17" s="15" t="str">
        <f t="shared" si="2"/>
        <v/>
      </c>
      <c r="X17" s="23" t="str">
        <f>IF('Tanuló kiutazások'!B21&lt;&gt;"",'Tanuló kiutazások'!G21*'Tanuló kiutazások'!N21,"")</f>
        <v/>
      </c>
      <c r="Y17" s="23" t="str">
        <f>IF('Tanuló kiutazások'!B21&lt;&gt;"",('Tanuló kiutazások'!L21+'Tanuló kiutazások'!M21)*'Tanuló kiutazások'!K21,"")</f>
        <v/>
      </c>
      <c r="Z17" s="15" t="str">
        <f>IF('Munkatárs kiutazások'!B21&lt;&gt;"",'Munkatárs kiutazások'!G21*'Munkatárs kiutazások'!K21,"")</f>
        <v/>
      </c>
      <c r="AA17" s="15" t="str">
        <f>IF('Munkatárs kiutazások'!B21&lt;&gt;"",'Munkatárs kiutazások'!G21*'Munkatárs kiutazások'!J21,"")</f>
        <v/>
      </c>
    </row>
    <row r="18" spans="2:27" x14ac:dyDescent="0.25">
      <c r="B18" s="111" t="str">
        <f t="shared" si="3"/>
        <v>1. országcsoport</v>
      </c>
      <c r="C18" s="112" t="s">
        <v>27</v>
      </c>
      <c r="D18" s="113">
        <v>56</v>
      </c>
      <c r="E18" s="113">
        <f t="shared" si="4"/>
        <v>39</v>
      </c>
      <c r="F18" s="113">
        <f t="shared" si="5"/>
        <v>112</v>
      </c>
      <c r="G18" s="114">
        <f t="shared" si="6"/>
        <v>80</v>
      </c>
      <c r="N18" s="15" t="str">
        <f>IF(AND('Tanuló kiutazások'!AD22&lt;&gt;"",'Tanuló kiutazások'!AD22&gt;0),'Tanuló kiutazások'!D22,"")</f>
        <v/>
      </c>
      <c r="O18" s="15" t="str">
        <f>IF('Tanuló kiutazások'!B22&lt;&gt;"",IF('Tanuló kiutazások'!Z22="Jogosult igényelni",IF('Tanuló kiutazások'!AD22&gt;0,'Tanuló kiutazások'!AA22*'Tanuló kiutazások'!AD22*VLOOKUP('Tanuló kiutazások'!C22,Segédlet!$C$5:$G$37,4,0),0),0),"")</f>
        <v/>
      </c>
      <c r="P18" s="15" t="str">
        <f>IF('Tanuló kiutazások'!B22&lt;&gt;"",IF('Tanuló kiutazások'!Z22="Jogosult igényelni",IF('Tanuló kiutazások'!AD22&gt;0,1*'Tanuló kiutazások'!AD22*VLOOKUP('Tanuló kiutazások'!C22,Segédlet!$C$5:$G$37,4,0),0),0),"")</f>
        <v/>
      </c>
      <c r="Q18" s="15" t="str">
        <f>IF('Tanuló kiutazások'!B22&lt;&gt;"",IF(AND('Tanuló kiutazások'!Z22="Jogosult igényelni",'Tanuló kiutazások'!AD22&gt;0),'Tanuló kiutazások'!AA22,0),"")</f>
        <v/>
      </c>
      <c r="R18" s="15" t="str">
        <f>IF('Tanuló kiutazások'!B22&lt;&gt;"",IF(AND('Tanuló kiutazások'!Z22="Jogosult igényelni",'Tanuló kiutazások'!AD22&gt;0),1,0),"")</f>
        <v/>
      </c>
      <c r="S18" s="15" t="str">
        <f>IF('Tanuló kiutazások'!B22&lt;&gt;"",IF('Tanuló kiutazások'!Z22="Jogosult igényelni",IF(AND('Tanuló kiutazások'!AC22&gt;0,'Tanuló kiutazások'!AF22&gt;0),(1+'Tanuló kiutazások'!AA22-'Tanuló kiutazások'!AC22)*VLOOKUP('Tanuló kiutazások'!P22,$I$5:$J$12,2,0),IF('Tanuló kiutazások'!AD22&gt;0,(1+'Tanuló kiutazások'!AA22)*VLOOKUP('Tanuló kiutazások'!P22,$I$5:$J$12,2,0),0)),0),"")</f>
        <v/>
      </c>
      <c r="T18" s="15" t="str">
        <f t="shared" si="0"/>
        <v/>
      </c>
      <c r="U18" s="15" t="str">
        <f t="shared" si="1"/>
        <v/>
      </c>
      <c r="V18" s="15" t="str">
        <f>IF('Tanuló kiutazások'!AD22&gt;0,'Tanuló kiutazások'!AD22,0)</f>
        <v/>
      </c>
      <c r="W18" s="15" t="str">
        <f t="shared" si="2"/>
        <v/>
      </c>
      <c r="X18" s="23" t="str">
        <f>IF('Tanuló kiutazások'!B22&lt;&gt;"",'Tanuló kiutazások'!G22*'Tanuló kiutazások'!N22,"")</f>
        <v/>
      </c>
      <c r="Y18" s="23" t="str">
        <f>IF('Tanuló kiutazások'!B22&lt;&gt;"",('Tanuló kiutazások'!L22+'Tanuló kiutazások'!M22)*'Tanuló kiutazások'!K22,"")</f>
        <v/>
      </c>
      <c r="Z18" s="15" t="str">
        <f>IF('Munkatárs kiutazások'!B22&lt;&gt;"",'Munkatárs kiutazások'!G22*'Munkatárs kiutazások'!K22,"")</f>
        <v/>
      </c>
      <c r="AA18" s="15" t="str">
        <f>IF('Munkatárs kiutazások'!B22&lt;&gt;"",'Munkatárs kiutazások'!G22*'Munkatárs kiutazások'!J22,"")</f>
        <v/>
      </c>
    </row>
    <row r="19" spans="2:27" x14ac:dyDescent="0.25">
      <c r="B19" s="111" t="str">
        <f t="shared" si="3"/>
        <v>1. országcsoport</v>
      </c>
      <c r="C19" s="112" t="s">
        <v>28</v>
      </c>
      <c r="D19" s="113">
        <v>56</v>
      </c>
      <c r="E19" s="113">
        <f t="shared" si="4"/>
        <v>39</v>
      </c>
      <c r="F19" s="113">
        <f t="shared" si="5"/>
        <v>112</v>
      </c>
      <c r="G19" s="114">
        <f t="shared" si="6"/>
        <v>80</v>
      </c>
      <c r="N19" s="15" t="str">
        <f>IF(AND('Tanuló kiutazások'!AD23&lt;&gt;"",'Tanuló kiutazások'!AD23&gt;0),'Tanuló kiutazások'!D23,"")</f>
        <v/>
      </c>
      <c r="O19" s="15" t="str">
        <f>IF('Tanuló kiutazások'!B23&lt;&gt;"",IF('Tanuló kiutazások'!Z23="Jogosult igényelni",IF('Tanuló kiutazások'!AD23&gt;0,'Tanuló kiutazások'!AA23*'Tanuló kiutazások'!AD23*VLOOKUP('Tanuló kiutazások'!C23,Segédlet!$C$5:$G$37,4,0),0),0),"")</f>
        <v/>
      </c>
      <c r="P19" s="15" t="str">
        <f>IF('Tanuló kiutazások'!B23&lt;&gt;"",IF('Tanuló kiutazások'!Z23="Jogosult igényelni",IF('Tanuló kiutazások'!AD23&gt;0,1*'Tanuló kiutazások'!AD23*VLOOKUP('Tanuló kiutazások'!C23,Segédlet!$C$5:$G$37,4,0),0),0),"")</f>
        <v/>
      </c>
      <c r="Q19" s="15" t="str">
        <f>IF('Tanuló kiutazások'!B23&lt;&gt;"",IF(AND('Tanuló kiutazások'!Z23="Jogosult igényelni",'Tanuló kiutazások'!AD23&gt;0),'Tanuló kiutazások'!AA23,0),"")</f>
        <v/>
      </c>
      <c r="R19" s="15" t="str">
        <f>IF('Tanuló kiutazások'!B23&lt;&gt;"",IF(AND('Tanuló kiutazások'!Z23="Jogosult igényelni",'Tanuló kiutazások'!AD23&gt;0),1,0),"")</f>
        <v/>
      </c>
      <c r="S19" s="15" t="str">
        <f>IF('Tanuló kiutazások'!B23&lt;&gt;"",IF('Tanuló kiutazások'!Z23="Jogosult igényelni",IF(AND('Tanuló kiutazások'!AC23&gt;0,'Tanuló kiutazások'!AF23&gt;0),(1+'Tanuló kiutazások'!AA23-'Tanuló kiutazások'!AC23)*VLOOKUP('Tanuló kiutazások'!P23,$I$5:$J$12,2,0),IF('Tanuló kiutazások'!AD23&gt;0,(1+'Tanuló kiutazások'!AA23)*VLOOKUP('Tanuló kiutazások'!P23,$I$5:$J$12,2,0),0)),0),"")</f>
        <v/>
      </c>
      <c r="T19" s="15" t="str">
        <f t="shared" si="0"/>
        <v/>
      </c>
      <c r="U19" s="15" t="str">
        <f t="shared" si="1"/>
        <v/>
      </c>
      <c r="V19" s="15" t="str">
        <f>IF('Tanuló kiutazások'!AD23&gt;0,'Tanuló kiutazások'!AD23,0)</f>
        <v/>
      </c>
      <c r="W19" s="15" t="str">
        <f t="shared" si="2"/>
        <v/>
      </c>
      <c r="X19" s="23" t="str">
        <f>IF('Tanuló kiutazások'!B23&lt;&gt;"",'Tanuló kiutazások'!G23*'Tanuló kiutazások'!N23,"")</f>
        <v/>
      </c>
      <c r="Y19" s="23" t="str">
        <f>IF('Tanuló kiutazások'!B23&lt;&gt;"",('Tanuló kiutazások'!L23+'Tanuló kiutazások'!M23)*'Tanuló kiutazások'!K23,"")</f>
        <v/>
      </c>
      <c r="Z19" s="15" t="str">
        <f>IF('Munkatárs kiutazások'!B23&lt;&gt;"",'Munkatárs kiutazások'!G23*'Munkatárs kiutazások'!K23,"")</f>
        <v/>
      </c>
      <c r="AA19" s="15" t="str">
        <f>IF('Munkatárs kiutazások'!B23&lt;&gt;"",'Munkatárs kiutazások'!G23*'Munkatárs kiutazások'!J23,"")</f>
        <v/>
      </c>
    </row>
    <row r="20" spans="2:27" x14ac:dyDescent="0.25">
      <c r="B20" s="111" t="str">
        <f t="shared" si="3"/>
        <v>2. országcsoport</v>
      </c>
      <c r="C20" s="112" t="s">
        <v>29</v>
      </c>
      <c r="D20" s="113">
        <v>49</v>
      </c>
      <c r="E20" s="113">
        <f t="shared" si="4"/>
        <v>34</v>
      </c>
      <c r="F20" s="113">
        <f t="shared" si="5"/>
        <v>99</v>
      </c>
      <c r="G20" s="114">
        <f t="shared" si="6"/>
        <v>70</v>
      </c>
      <c r="N20" s="15" t="str">
        <f>IF(AND('Tanuló kiutazások'!AD24&lt;&gt;"",'Tanuló kiutazások'!AD24&gt;0),'Tanuló kiutazások'!D24,"")</f>
        <v/>
      </c>
      <c r="O20" s="15" t="str">
        <f>IF('Tanuló kiutazások'!B24&lt;&gt;"",IF('Tanuló kiutazások'!Z24="Jogosult igényelni",IF('Tanuló kiutazások'!AD24&gt;0,'Tanuló kiutazások'!AA24*'Tanuló kiutazások'!AD24*VLOOKUP('Tanuló kiutazások'!C24,Segédlet!$C$5:$G$37,4,0),0),0),"")</f>
        <v/>
      </c>
      <c r="P20" s="15" t="str">
        <f>IF('Tanuló kiutazások'!B24&lt;&gt;"",IF('Tanuló kiutazások'!Z24="Jogosult igényelni",IF('Tanuló kiutazások'!AD24&gt;0,1*'Tanuló kiutazások'!AD24*VLOOKUP('Tanuló kiutazások'!C24,Segédlet!$C$5:$G$37,4,0),0),0),"")</f>
        <v/>
      </c>
      <c r="Q20" s="15" t="str">
        <f>IF('Tanuló kiutazások'!B24&lt;&gt;"",IF(AND('Tanuló kiutazások'!Z24="Jogosult igényelni",'Tanuló kiutazások'!AD24&gt;0),'Tanuló kiutazások'!AA24,0),"")</f>
        <v/>
      </c>
      <c r="R20" s="15" t="str">
        <f>IF('Tanuló kiutazások'!B24&lt;&gt;"",IF(AND('Tanuló kiutazások'!Z24="Jogosult igényelni",'Tanuló kiutazások'!AD24&gt;0),1,0),"")</f>
        <v/>
      </c>
      <c r="S20" s="15" t="str">
        <f>IF('Tanuló kiutazások'!B24&lt;&gt;"",IF('Tanuló kiutazások'!Z24="Jogosult igényelni",IF(AND('Tanuló kiutazások'!AC24&gt;0,'Tanuló kiutazások'!AF24&gt;0),(1+'Tanuló kiutazások'!AA24-'Tanuló kiutazások'!AC24)*VLOOKUP('Tanuló kiutazások'!P24,$I$5:$J$12,2,0),IF('Tanuló kiutazások'!AD24&gt;0,(1+'Tanuló kiutazások'!AA24)*VLOOKUP('Tanuló kiutazások'!P24,$I$5:$J$12,2,0),0)),0),"")</f>
        <v/>
      </c>
      <c r="T20" s="15" t="str">
        <f t="shared" si="0"/>
        <v/>
      </c>
      <c r="U20" s="15" t="str">
        <f t="shared" si="1"/>
        <v/>
      </c>
      <c r="V20" s="15" t="str">
        <f>IF('Tanuló kiutazások'!AD24&gt;0,'Tanuló kiutazások'!AD24,0)</f>
        <v/>
      </c>
      <c r="W20" s="15" t="str">
        <f t="shared" si="2"/>
        <v/>
      </c>
      <c r="X20" s="23" t="str">
        <f>IF('Tanuló kiutazások'!B24&lt;&gt;"",'Tanuló kiutazások'!G24*'Tanuló kiutazások'!N24,"")</f>
        <v/>
      </c>
      <c r="Y20" s="23" t="str">
        <f>IF('Tanuló kiutazások'!B24&lt;&gt;"",('Tanuló kiutazások'!L24+'Tanuló kiutazások'!M24)*'Tanuló kiutazások'!K24,"")</f>
        <v/>
      </c>
      <c r="Z20" s="15" t="str">
        <f>IF('Munkatárs kiutazások'!B24&lt;&gt;"",'Munkatárs kiutazások'!G24*'Munkatárs kiutazások'!K24,"")</f>
        <v/>
      </c>
      <c r="AA20" s="15" t="str">
        <f>IF('Munkatárs kiutazások'!B24&lt;&gt;"",'Munkatárs kiutazások'!G24*'Munkatárs kiutazások'!J24,"")</f>
        <v/>
      </c>
    </row>
    <row r="21" spans="2:27" x14ac:dyDescent="0.25">
      <c r="B21" s="111" t="str">
        <f t="shared" si="3"/>
        <v>1. országcsoport</v>
      </c>
      <c r="C21" s="112" t="s">
        <v>30</v>
      </c>
      <c r="D21" s="113">
        <v>56</v>
      </c>
      <c r="E21" s="113">
        <f t="shared" si="4"/>
        <v>39</v>
      </c>
      <c r="F21" s="113">
        <f t="shared" si="5"/>
        <v>112</v>
      </c>
      <c r="G21" s="114">
        <f t="shared" si="6"/>
        <v>80</v>
      </c>
      <c r="N21" s="15" t="str">
        <f>IF(AND('Tanuló kiutazások'!AD25&lt;&gt;"",'Tanuló kiutazások'!AD25&gt;0),'Tanuló kiutazások'!D25,"")</f>
        <v/>
      </c>
      <c r="O21" s="15" t="str">
        <f>IF('Tanuló kiutazások'!B25&lt;&gt;"",IF('Tanuló kiutazások'!Z25="Jogosult igényelni",IF('Tanuló kiutazások'!AD25&gt;0,'Tanuló kiutazások'!AA25*'Tanuló kiutazások'!AD25*VLOOKUP('Tanuló kiutazások'!C25,Segédlet!$C$5:$G$37,4,0),0),0),"")</f>
        <v/>
      </c>
      <c r="P21" s="15" t="str">
        <f>IF('Tanuló kiutazások'!B25&lt;&gt;"",IF('Tanuló kiutazások'!Z25="Jogosult igényelni",IF('Tanuló kiutazások'!AD25&gt;0,1*'Tanuló kiutazások'!AD25*VLOOKUP('Tanuló kiutazások'!C25,Segédlet!$C$5:$G$37,4,0),0),0),"")</f>
        <v/>
      </c>
      <c r="Q21" s="15" t="str">
        <f>IF('Tanuló kiutazások'!B25&lt;&gt;"",IF(AND('Tanuló kiutazások'!Z25="Jogosult igényelni",'Tanuló kiutazások'!AD25&gt;0),'Tanuló kiutazások'!AA25,0),"")</f>
        <v/>
      </c>
      <c r="R21" s="15" t="str">
        <f>IF('Tanuló kiutazások'!B25&lt;&gt;"",IF(AND('Tanuló kiutazások'!Z25="Jogosult igényelni",'Tanuló kiutazások'!AD25&gt;0),1,0),"")</f>
        <v/>
      </c>
      <c r="S21" s="15" t="str">
        <f>IF('Tanuló kiutazások'!B25&lt;&gt;"",IF('Tanuló kiutazások'!Z25="Jogosult igényelni",IF(AND('Tanuló kiutazások'!AC25&gt;0,'Tanuló kiutazások'!AF25&gt;0),(1+'Tanuló kiutazások'!AA25-'Tanuló kiutazások'!AC25)*VLOOKUP('Tanuló kiutazások'!P25,$I$5:$J$12,2,0),IF('Tanuló kiutazások'!AD25&gt;0,(1+'Tanuló kiutazások'!AA25)*VLOOKUP('Tanuló kiutazások'!P25,$I$5:$J$12,2,0),0)),0),"")</f>
        <v/>
      </c>
      <c r="T21" s="15" t="str">
        <f t="shared" si="0"/>
        <v/>
      </c>
      <c r="U21" s="15" t="str">
        <f t="shared" si="1"/>
        <v/>
      </c>
      <c r="V21" s="15" t="str">
        <f>IF('Tanuló kiutazások'!AD25&gt;0,'Tanuló kiutazások'!AD25,0)</f>
        <v/>
      </c>
      <c r="W21" s="15" t="str">
        <f t="shared" si="2"/>
        <v/>
      </c>
      <c r="X21" s="23" t="str">
        <f>IF('Tanuló kiutazások'!B25&lt;&gt;"",'Tanuló kiutazások'!G25*'Tanuló kiutazások'!N25,"")</f>
        <v/>
      </c>
      <c r="Y21" s="23" t="str">
        <f>IF('Tanuló kiutazások'!B25&lt;&gt;"",('Tanuló kiutazások'!L25+'Tanuló kiutazások'!M25)*'Tanuló kiutazások'!K25,"")</f>
        <v/>
      </c>
      <c r="Z21" s="15" t="str">
        <f>IF('Munkatárs kiutazások'!B25&lt;&gt;"",'Munkatárs kiutazások'!G25*'Munkatárs kiutazások'!K25,"")</f>
        <v/>
      </c>
      <c r="AA21" s="15" t="str">
        <f>IF('Munkatárs kiutazások'!B25&lt;&gt;"",'Munkatárs kiutazások'!G25*'Munkatárs kiutazások'!J25,"")</f>
        <v/>
      </c>
    </row>
    <row r="22" spans="2:27" x14ac:dyDescent="0.25">
      <c r="B22" s="111" t="str">
        <f t="shared" si="3"/>
        <v>3. országcsoport</v>
      </c>
      <c r="C22" s="112" t="s">
        <v>31</v>
      </c>
      <c r="D22" s="113">
        <v>41</v>
      </c>
      <c r="E22" s="113">
        <f t="shared" si="4"/>
        <v>29</v>
      </c>
      <c r="F22" s="113">
        <f t="shared" si="5"/>
        <v>87</v>
      </c>
      <c r="G22" s="114">
        <f t="shared" si="6"/>
        <v>61</v>
      </c>
      <c r="N22" s="15" t="str">
        <f>IF(AND('Tanuló kiutazások'!AD26&lt;&gt;"",'Tanuló kiutazások'!AD26&gt;0),'Tanuló kiutazások'!D26,"")</f>
        <v/>
      </c>
      <c r="O22" s="15" t="str">
        <f>IF('Tanuló kiutazások'!B26&lt;&gt;"",IF('Tanuló kiutazások'!Z26="Jogosult igényelni",IF('Tanuló kiutazások'!AD26&gt;0,'Tanuló kiutazások'!AA26*'Tanuló kiutazások'!AD26*VLOOKUP('Tanuló kiutazások'!C26,Segédlet!$C$5:$G$37,4,0),0),0),"")</f>
        <v/>
      </c>
      <c r="P22" s="15" t="str">
        <f>IF('Tanuló kiutazások'!B26&lt;&gt;"",IF('Tanuló kiutazások'!Z26="Jogosult igényelni",IF('Tanuló kiutazások'!AD26&gt;0,1*'Tanuló kiutazások'!AD26*VLOOKUP('Tanuló kiutazások'!C26,Segédlet!$C$5:$G$37,4,0),0),0),"")</f>
        <v/>
      </c>
      <c r="Q22" s="15" t="str">
        <f>IF('Tanuló kiutazások'!B26&lt;&gt;"",IF(AND('Tanuló kiutazások'!Z26="Jogosult igényelni",'Tanuló kiutazások'!AD26&gt;0),'Tanuló kiutazások'!AA26,0),"")</f>
        <v/>
      </c>
      <c r="R22" s="15" t="str">
        <f>IF('Tanuló kiutazások'!B26&lt;&gt;"",IF(AND('Tanuló kiutazások'!Z26="Jogosult igényelni",'Tanuló kiutazások'!AD26&gt;0),1,0),"")</f>
        <v/>
      </c>
      <c r="S22" s="15" t="str">
        <f>IF('Tanuló kiutazások'!B26&lt;&gt;"",IF('Tanuló kiutazások'!Z26="Jogosult igényelni",IF(AND('Tanuló kiutazások'!AC26&gt;0,'Tanuló kiutazások'!AF26&gt;0),(1+'Tanuló kiutazások'!AA26-'Tanuló kiutazások'!AC26)*VLOOKUP('Tanuló kiutazások'!P26,$I$5:$J$12,2,0),IF('Tanuló kiutazások'!AD26&gt;0,(1+'Tanuló kiutazások'!AA26)*VLOOKUP('Tanuló kiutazások'!P26,$I$5:$J$12,2,0),0)),0),"")</f>
        <v/>
      </c>
      <c r="T22" s="15" t="str">
        <f t="shared" si="0"/>
        <v/>
      </c>
      <c r="U22" s="15" t="str">
        <f t="shared" si="1"/>
        <v/>
      </c>
      <c r="V22" s="15" t="str">
        <f>IF('Tanuló kiutazások'!AD26&gt;0,'Tanuló kiutazások'!AD26,0)</f>
        <v/>
      </c>
      <c r="W22" s="15" t="str">
        <f t="shared" si="2"/>
        <v/>
      </c>
      <c r="X22" s="23" t="str">
        <f>IF('Tanuló kiutazások'!B26&lt;&gt;"",'Tanuló kiutazások'!G26*'Tanuló kiutazások'!N26,"")</f>
        <v/>
      </c>
      <c r="Y22" s="23" t="str">
        <f>IF('Tanuló kiutazások'!B26&lt;&gt;"",('Tanuló kiutazások'!L26+'Tanuló kiutazások'!M26)*'Tanuló kiutazások'!K26,"")</f>
        <v/>
      </c>
      <c r="Z22" s="15" t="str">
        <f>IF('Munkatárs kiutazások'!B26&lt;&gt;"",'Munkatárs kiutazások'!G26*'Munkatárs kiutazások'!K26,"")</f>
        <v/>
      </c>
      <c r="AA22" s="15" t="str">
        <f>IF('Munkatárs kiutazások'!B26&lt;&gt;"",'Munkatárs kiutazások'!G26*'Munkatárs kiutazások'!J26,"")</f>
        <v/>
      </c>
    </row>
    <row r="23" spans="2:27" x14ac:dyDescent="0.25">
      <c r="B23" s="111" t="str">
        <f t="shared" si="3"/>
        <v>1. országcsoport</v>
      </c>
      <c r="C23" s="112" t="s">
        <v>32</v>
      </c>
      <c r="D23" s="113">
        <v>56</v>
      </c>
      <c r="E23" s="113">
        <f t="shared" si="4"/>
        <v>39</v>
      </c>
      <c r="F23" s="113">
        <f t="shared" si="5"/>
        <v>112</v>
      </c>
      <c r="G23" s="114">
        <f t="shared" si="6"/>
        <v>80</v>
      </c>
      <c r="J23" s="121"/>
      <c r="N23" s="15" t="str">
        <f>IF(AND('Tanuló kiutazások'!AD27&lt;&gt;"",'Tanuló kiutazások'!AD27&gt;0),'Tanuló kiutazások'!D27,"")</f>
        <v/>
      </c>
      <c r="O23" s="15" t="str">
        <f>IF('Tanuló kiutazások'!B27&lt;&gt;"",IF('Tanuló kiutazások'!Z27="Jogosult igényelni",IF('Tanuló kiutazások'!AD27&gt;0,'Tanuló kiutazások'!AA27*'Tanuló kiutazások'!AD27*VLOOKUP('Tanuló kiutazások'!C27,Segédlet!$C$5:$G$37,4,0),0),0),"")</f>
        <v/>
      </c>
      <c r="P23" s="15" t="str">
        <f>IF('Tanuló kiutazások'!B27&lt;&gt;"",IF('Tanuló kiutazások'!Z27="Jogosult igényelni",IF('Tanuló kiutazások'!AD27&gt;0,1*'Tanuló kiutazások'!AD27*VLOOKUP('Tanuló kiutazások'!C27,Segédlet!$C$5:$G$37,4,0),0),0),"")</f>
        <v/>
      </c>
      <c r="Q23" s="15" t="str">
        <f>IF('Tanuló kiutazások'!B27&lt;&gt;"",IF(AND('Tanuló kiutazások'!Z27="Jogosult igényelni",'Tanuló kiutazások'!AD27&gt;0),'Tanuló kiutazások'!AA27,0),"")</f>
        <v/>
      </c>
      <c r="R23" s="15" t="str">
        <f>IF('Tanuló kiutazások'!B27&lt;&gt;"",IF(AND('Tanuló kiutazások'!Z27="Jogosult igényelni",'Tanuló kiutazások'!AD27&gt;0),1,0),"")</f>
        <v/>
      </c>
      <c r="S23" s="15" t="str">
        <f>IF('Tanuló kiutazások'!B27&lt;&gt;"",IF('Tanuló kiutazások'!Z27="Jogosult igényelni",IF(AND('Tanuló kiutazások'!AC27&gt;0,'Tanuló kiutazások'!AF27&gt;0),(1+'Tanuló kiutazások'!AA27-'Tanuló kiutazások'!AC27)*VLOOKUP('Tanuló kiutazások'!P27,$I$5:$J$12,2,0),IF('Tanuló kiutazások'!AD27&gt;0,(1+'Tanuló kiutazások'!AA27)*VLOOKUP('Tanuló kiutazások'!P27,$I$5:$J$12,2,0),0)),0),"")</f>
        <v/>
      </c>
      <c r="T23" s="15" t="str">
        <f t="shared" si="0"/>
        <v/>
      </c>
      <c r="U23" s="15" t="str">
        <f t="shared" si="1"/>
        <v/>
      </c>
      <c r="V23" s="15" t="str">
        <f>IF('Tanuló kiutazások'!AD27&gt;0,'Tanuló kiutazások'!AD27,0)</f>
        <v/>
      </c>
      <c r="W23" s="15" t="str">
        <f t="shared" si="2"/>
        <v/>
      </c>
      <c r="X23" s="23" t="str">
        <f>IF('Tanuló kiutazások'!B27&lt;&gt;"",'Tanuló kiutazások'!G27*'Tanuló kiutazások'!N27,"")</f>
        <v/>
      </c>
      <c r="Y23" s="23" t="str">
        <f>IF('Tanuló kiutazások'!B27&lt;&gt;"",('Tanuló kiutazások'!L27+'Tanuló kiutazások'!M27)*'Tanuló kiutazások'!K27,"")</f>
        <v/>
      </c>
      <c r="Z23" s="15" t="str">
        <f>IF('Munkatárs kiutazások'!B27&lt;&gt;"",'Munkatárs kiutazások'!G27*'Munkatárs kiutazások'!K27,"")</f>
        <v/>
      </c>
      <c r="AA23" s="15" t="str">
        <f>IF('Munkatárs kiutazások'!B27&lt;&gt;"",'Munkatárs kiutazások'!G27*'Munkatárs kiutazások'!J27,"")</f>
        <v/>
      </c>
    </row>
    <row r="24" spans="2:27" x14ac:dyDescent="0.25">
      <c r="B24" s="111" t="str">
        <f t="shared" si="3"/>
        <v>3. országcsoport</v>
      </c>
      <c r="C24" s="112" t="s">
        <v>33</v>
      </c>
      <c r="D24" s="113">
        <v>41</v>
      </c>
      <c r="E24" s="113">
        <f t="shared" si="4"/>
        <v>29</v>
      </c>
      <c r="F24" s="113">
        <f t="shared" si="5"/>
        <v>87</v>
      </c>
      <c r="G24" s="114">
        <f t="shared" si="6"/>
        <v>61</v>
      </c>
      <c r="N24" s="15" t="str">
        <f>IF(AND('Tanuló kiutazások'!AD28&lt;&gt;"",'Tanuló kiutazások'!AD28&gt;0),'Tanuló kiutazások'!D28,"")</f>
        <v/>
      </c>
      <c r="O24" s="15" t="str">
        <f>IF('Tanuló kiutazások'!B28&lt;&gt;"",IF('Tanuló kiutazások'!Z28="Jogosult igényelni",IF('Tanuló kiutazások'!AD28&gt;0,'Tanuló kiutazások'!AA28*'Tanuló kiutazások'!AD28*VLOOKUP('Tanuló kiutazások'!C28,Segédlet!$C$5:$G$37,4,0),0),0),"")</f>
        <v/>
      </c>
      <c r="P24" s="15" t="str">
        <f>IF('Tanuló kiutazások'!B28&lt;&gt;"",IF('Tanuló kiutazások'!Z28="Jogosult igényelni",IF('Tanuló kiutazások'!AD28&gt;0,1*'Tanuló kiutazások'!AD28*VLOOKUP('Tanuló kiutazások'!C28,Segédlet!$C$5:$G$37,4,0),0),0),"")</f>
        <v/>
      </c>
      <c r="Q24" s="15" t="str">
        <f>IF('Tanuló kiutazások'!B28&lt;&gt;"",IF(AND('Tanuló kiutazások'!Z28="Jogosult igényelni",'Tanuló kiutazások'!AD28&gt;0),'Tanuló kiutazások'!AA28,0),"")</f>
        <v/>
      </c>
      <c r="R24" s="15" t="str">
        <f>IF('Tanuló kiutazások'!B28&lt;&gt;"",IF(AND('Tanuló kiutazások'!Z28="Jogosult igényelni",'Tanuló kiutazások'!AD28&gt;0),1,0),"")</f>
        <v/>
      </c>
      <c r="S24" s="15" t="str">
        <f>IF('Tanuló kiutazások'!B28&lt;&gt;"",IF('Tanuló kiutazások'!Z28="Jogosult igényelni",IF(AND('Tanuló kiutazások'!AC28&gt;0,'Tanuló kiutazások'!AF28&gt;0),(1+'Tanuló kiutazások'!AA28-'Tanuló kiutazások'!AC28)*VLOOKUP('Tanuló kiutazások'!P28,$I$5:$J$12,2,0),IF('Tanuló kiutazások'!AD28&gt;0,(1+'Tanuló kiutazások'!AA28)*VLOOKUP('Tanuló kiutazások'!P28,$I$5:$J$12,2,0),0)),0),"")</f>
        <v/>
      </c>
      <c r="T24" s="15" t="str">
        <f t="shared" si="0"/>
        <v/>
      </c>
      <c r="U24" s="15" t="str">
        <f t="shared" si="1"/>
        <v/>
      </c>
      <c r="V24" s="15" t="str">
        <f>IF('Tanuló kiutazások'!AD28&gt;0,'Tanuló kiutazások'!AD28,0)</f>
        <v/>
      </c>
      <c r="W24" s="15" t="str">
        <f t="shared" si="2"/>
        <v/>
      </c>
      <c r="X24" s="23" t="str">
        <f>IF('Tanuló kiutazások'!B28&lt;&gt;"",'Tanuló kiutazások'!G28*'Tanuló kiutazások'!N28,"")</f>
        <v/>
      </c>
      <c r="Y24" s="23" t="str">
        <f>IF('Tanuló kiutazások'!B28&lt;&gt;"",('Tanuló kiutazások'!L28+'Tanuló kiutazások'!M28)*'Tanuló kiutazások'!K28,"")</f>
        <v/>
      </c>
      <c r="Z24" s="15" t="str">
        <f>IF('Munkatárs kiutazások'!B28&lt;&gt;"",'Munkatárs kiutazások'!G28*'Munkatárs kiutazások'!K28,"")</f>
        <v/>
      </c>
      <c r="AA24" s="15" t="str">
        <f>IF('Munkatárs kiutazások'!B28&lt;&gt;"",'Munkatárs kiutazások'!G28*'Munkatárs kiutazások'!J28,"")</f>
        <v/>
      </c>
    </row>
    <row r="25" spans="2:27" x14ac:dyDescent="0.25">
      <c r="B25" s="111" t="str">
        <f t="shared" si="3"/>
        <v>3. országcsoport</v>
      </c>
      <c r="C25" s="112" t="s">
        <v>34</v>
      </c>
      <c r="D25" s="113">
        <v>41</v>
      </c>
      <c r="E25" s="113">
        <f t="shared" si="4"/>
        <v>29</v>
      </c>
      <c r="F25" s="113">
        <f t="shared" si="5"/>
        <v>87</v>
      </c>
      <c r="G25" s="114">
        <f t="shared" si="6"/>
        <v>61</v>
      </c>
      <c r="N25" s="15" t="str">
        <f>IF(AND('Tanuló kiutazások'!AD29&lt;&gt;"",'Tanuló kiutazások'!AD29&gt;0),'Tanuló kiutazások'!D29,"")</f>
        <v/>
      </c>
      <c r="O25" s="15" t="str">
        <f>IF('Tanuló kiutazások'!B29&lt;&gt;"",IF('Tanuló kiutazások'!Z29="Jogosult igényelni",IF('Tanuló kiutazások'!AD29&gt;0,'Tanuló kiutazások'!AA29*'Tanuló kiutazások'!AD29*VLOOKUP('Tanuló kiutazások'!C29,Segédlet!$C$5:$G$37,4,0),0),0),"")</f>
        <v/>
      </c>
      <c r="P25" s="15" t="str">
        <f>IF('Tanuló kiutazások'!B29&lt;&gt;"",IF('Tanuló kiutazások'!Z29="Jogosult igényelni",IF('Tanuló kiutazások'!AD29&gt;0,1*'Tanuló kiutazások'!AD29*VLOOKUP('Tanuló kiutazások'!C29,Segédlet!$C$5:$G$37,4,0),0),0),"")</f>
        <v/>
      </c>
      <c r="Q25" s="15" t="str">
        <f>IF('Tanuló kiutazások'!B29&lt;&gt;"",IF(AND('Tanuló kiutazások'!Z29="Jogosult igényelni",'Tanuló kiutazások'!AD29&gt;0),'Tanuló kiutazások'!AA29,0),"")</f>
        <v/>
      </c>
      <c r="R25" s="15" t="str">
        <f>IF('Tanuló kiutazások'!B29&lt;&gt;"",IF(AND('Tanuló kiutazások'!Z29="Jogosult igényelni",'Tanuló kiutazások'!AD29&gt;0),1,0),"")</f>
        <v/>
      </c>
      <c r="S25" s="15" t="str">
        <f>IF('Tanuló kiutazások'!B29&lt;&gt;"",IF('Tanuló kiutazások'!Z29="Jogosult igényelni",IF(AND('Tanuló kiutazások'!AC29&gt;0,'Tanuló kiutazások'!AF29&gt;0),(1+'Tanuló kiutazások'!AA29-'Tanuló kiutazások'!AC29)*VLOOKUP('Tanuló kiutazások'!P29,$I$5:$J$12,2,0),IF('Tanuló kiutazások'!AD29&gt;0,(1+'Tanuló kiutazások'!AA29)*VLOOKUP('Tanuló kiutazások'!P29,$I$5:$J$12,2,0),0)),0),"")</f>
        <v/>
      </c>
      <c r="T25" s="15" t="str">
        <f t="shared" si="0"/>
        <v/>
      </c>
      <c r="U25" s="15" t="str">
        <f t="shared" si="1"/>
        <v/>
      </c>
      <c r="V25" s="15" t="str">
        <f>IF('Tanuló kiutazások'!AD29&gt;0,'Tanuló kiutazások'!AD29,0)</f>
        <v/>
      </c>
      <c r="W25" s="15" t="str">
        <f t="shared" si="2"/>
        <v/>
      </c>
      <c r="X25" s="23" t="str">
        <f>IF('Tanuló kiutazások'!B29&lt;&gt;"",'Tanuló kiutazások'!G29*'Tanuló kiutazások'!N29,"")</f>
        <v/>
      </c>
      <c r="Y25" s="23" t="str">
        <f>IF('Tanuló kiutazások'!B29&lt;&gt;"",('Tanuló kiutazások'!L29+'Tanuló kiutazások'!M29)*'Tanuló kiutazások'!K29,"")</f>
        <v/>
      </c>
      <c r="Z25" s="15" t="str">
        <f>IF('Munkatárs kiutazások'!B29&lt;&gt;"",'Munkatárs kiutazások'!G29*'Munkatárs kiutazások'!K29,"")</f>
        <v/>
      </c>
      <c r="AA25" s="15" t="str">
        <f>IF('Munkatárs kiutazások'!B29&lt;&gt;"",'Munkatárs kiutazások'!G29*'Munkatárs kiutazások'!J29,"")</f>
        <v/>
      </c>
    </row>
    <row r="26" spans="2:27" x14ac:dyDescent="0.25">
      <c r="B26" s="111" t="str">
        <f t="shared" si="3"/>
        <v>2. országcsoport</v>
      </c>
      <c r="C26" s="112" t="s">
        <v>35</v>
      </c>
      <c r="D26" s="113">
        <v>49</v>
      </c>
      <c r="E26" s="113">
        <f t="shared" si="4"/>
        <v>34</v>
      </c>
      <c r="F26" s="113">
        <f t="shared" si="5"/>
        <v>99</v>
      </c>
      <c r="G26" s="114">
        <f t="shared" si="6"/>
        <v>70</v>
      </c>
      <c r="N26" s="15" t="str">
        <f>IF(AND('Tanuló kiutazások'!AD30&lt;&gt;"",'Tanuló kiutazások'!AD30&gt;0),'Tanuló kiutazások'!D30,"")</f>
        <v/>
      </c>
      <c r="O26" s="15" t="str">
        <f>IF('Tanuló kiutazások'!B30&lt;&gt;"",IF('Tanuló kiutazások'!Z30="Jogosult igényelni",IF('Tanuló kiutazások'!AD30&gt;0,'Tanuló kiutazások'!AA30*'Tanuló kiutazások'!AD30*VLOOKUP('Tanuló kiutazások'!C30,Segédlet!$C$5:$G$37,4,0),0),0),"")</f>
        <v/>
      </c>
      <c r="P26" s="15" t="str">
        <f>IF('Tanuló kiutazások'!B30&lt;&gt;"",IF('Tanuló kiutazások'!Z30="Jogosult igényelni",IF('Tanuló kiutazások'!AD30&gt;0,1*'Tanuló kiutazások'!AD30*VLOOKUP('Tanuló kiutazások'!C30,Segédlet!$C$5:$G$37,4,0),0),0),"")</f>
        <v/>
      </c>
      <c r="Q26" s="15" t="str">
        <f>IF('Tanuló kiutazások'!B30&lt;&gt;"",IF(AND('Tanuló kiutazások'!Z30="Jogosult igényelni",'Tanuló kiutazások'!AD30&gt;0),'Tanuló kiutazások'!AA30,0),"")</f>
        <v/>
      </c>
      <c r="R26" s="15" t="str">
        <f>IF('Tanuló kiutazások'!B30&lt;&gt;"",IF(AND('Tanuló kiutazások'!Z30="Jogosult igényelni",'Tanuló kiutazások'!AD30&gt;0),1,0),"")</f>
        <v/>
      </c>
      <c r="S26" s="15" t="str">
        <f>IF('Tanuló kiutazások'!B30&lt;&gt;"",IF('Tanuló kiutazások'!Z30="Jogosult igényelni",IF(AND('Tanuló kiutazások'!AC30&gt;0,'Tanuló kiutazások'!AF30&gt;0),(1+'Tanuló kiutazások'!AA30-'Tanuló kiutazások'!AC30)*VLOOKUP('Tanuló kiutazások'!P30,$I$5:$J$12,2,0),IF('Tanuló kiutazások'!AD30&gt;0,(1+'Tanuló kiutazások'!AA30)*VLOOKUP('Tanuló kiutazások'!P30,$I$5:$J$12,2,0),0)),0),"")</f>
        <v/>
      </c>
      <c r="T26" s="15" t="str">
        <f t="shared" si="0"/>
        <v/>
      </c>
      <c r="U26" s="15" t="str">
        <f t="shared" si="1"/>
        <v/>
      </c>
      <c r="V26" s="15" t="str">
        <f>IF('Tanuló kiutazások'!AD30&gt;0,'Tanuló kiutazások'!AD30,0)</f>
        <v/>
      </c>
      <c r="W26" s="15" t="str">
        <f t="shared" si="2"/>
        <v/>
      </c>
      <c r="X26" s="23" t="str">
        <f>IF('Tanuló kiutazások'!B30&lt;&gt;"",'Tanuló kiutazások'!G30*'Tanuló kiutazások'!N30,"")</f>
        <v/>
      </c>
      <c r="Y26" s="23" t="str">
        <f>IF('Tanuló kiutazások'!B30&lt;&gt;"",('Tanuló kiutazások'!L30+'Tanuló kiutazások'!M30)*'Tanuló kiutazások'!K30,"")</f>
        <v/>
      </c>
      <c r="Z26" s="15" t="str">
        <f>IF('Munkatárs kiutazások'!B30&lt;&gt;"",'Munkatárs kiutazások'!G30*'Munkatárs kiutazások'!K30,"")</f>
        <v/>
      </c>
      <c r="AA26" s="15" t="str">
        <f>IF('Munkatárs kiutazások'!B30&lt;&gt;"",'Munkatárs kiutazások'!G30*'Munkatárs kiutazások'!J30,"")</f>
        <v/>
      </c>
    </row>
    <row r="27" spans="2:27" x14ac:dyDescent="0.25">
      <c r="B27" s="111" t="str">
        <f t="shared" si="3"/>
        <v>2. országcsoport</v>
      </c>
      <c r="C27" s="112" t="s">
        <v>36</v>
      </c>
      <c r="D27" s="113">
        <v>49</v>
      </c>
      <c r="E27" s="113">
        <f t="shared" si="4"/>
        <v>34</v>
      </c>
      <c r="F27" s="113">
        <f t="shared" si="5"/>
        <v>99</v>
      </c>
      <c r="G27" s="114">
        <f t="shared" si="6"/>
        <v>70</v>
      </c>
      <c r="N27" s="15" t="str">
        <f>IF(AND('Tanuló kiutazások'!AD31&lt;&gt;"",'Tanuló kiutazások'!AD31&gt;0),'Tanuló kiutazások'!D31,"")</f>
        <v/>
      </c>
      <c r="O27" s="15" t="str">
        <f>IF('Tanuló kiutazások'!B31&lt;&gt;"",IF('Tanuló kiutazások'!Z31="Jogosult igényelni",IF('Tanuló kiutazások'!AD31&gt;0,'Tanuló kiutazások'!AA31*'Tanuló kiutazások'!AD31*VLOOKUP('Tanuló kiutazások'!C31,Segédlet!$C$5:$G$37,4,0),0),0),"")</f>
        <v/>
      </c>
      <c r="P27" s="15" t="str">
        <f>IF('Tanuló kiutazások'!B31&lt;&gt;"",IF('Tanuló kiutazások'!Z31="Jogosult igényelni",IF('Tanuló kiutazások'!AD31&gt;0,1*'Tanuló kiutazások'!AD31*VLOOKUP('Tanuló kiutazások'!C31,Segédlet!$C$5:$G$37,4,0),0),0),"")</f>
        <v/>
      </c>
      <c r="Q27" s="15" t="str">
        <f>IF('Tanuló kiutazások'!B31&lt;&gt;"",IF(AND('Tanuló kiutazások'!Z31="Jogosult igényelni",'Tanuló kiutazások'!AD31&gt;0),'Tanuló kiutazások'!AA31,0),"")</f>
        <v/>
      </c>
      <c r="R27" s="15" t="str">
        <f>IF('Tanuló kiutazások'!B31&lt;&gt;"",IF(AND('Tanuló kiutazások'!Z31="Jogosult igényelni",'Tanuló kiutazások'!AD31&gt;0),1,0),"")</f>
        <v/>
      </c>
      <c r="S27" s="15" t="str">
        <f>IF('Tanuló kiutazások'!B31&lt;&gt;"",IF('Tanuló kiutazások'!Z31="Jogosult igényelni",IF(AND('Tanuló kiutazások'!AC31&gt;0,'Tanuló kiutazások'!AF31&gt;0),(1+'Tanuló kiutazások'!AA31-'Tanuló kiutazások'!AC31)*VLOOKUP('Tanuló kiutazások'!P31,$I$5:$J$12,2,0),IF('Tanuló kiutazások'!AD31&gt;0,(1+'Tanuló kiutazások'!AA31)*VLOOKUP('Tanuló kiutazások'!P31,$I$5:$J$12,2,0),0)),0),"")</f>
        <v/>
      </c>
      <c r="T27" s="15" t="str">
        <f t="shared" si="0"/>
        <v/>
      </c>
      <c r="U27" s="15" t="str">
        <f t="shared" si="1"/>
        <v/>
      </c>
      <c r="V27" s="15" t="str">
        <f>IF('Tanuló kiutazások'!AD31&gt;0,'Tanuló kiutazások'!AD31,0)</f>
        <v/>
      </c>
      <c r="W27" s="15" t="str">
        <f t="shared" si="2"/>
        <v/>
      </c>
      <c r="X27" s="23" t="str">
        <f>IF('Tanuló kiutazások'!B31&lt;&gt;"",'Tanuló kiutazások'!G31*'Tanuló kiutazások'!N31,"")</f>
        <v/>
      </c>
      <c r="Y27" s="23" t="str">
        <f>IF('Tanuló kiutazások'!B31&lt;&gt;"",('Tanuló kiutazások'!L31+'Tanuló kiutazások'!M31)*'Tanuló kiutazások'!K31,"")</f>
        <v/>
      </c>
      <c r="Z27" s="15" t="str">
        <f>IF('Munkatárs kiutazások'!B31&lt;&gt;"",'Munkatárs kiutazások'!G31*'Munkatárs kiutazások'!K31,"")</f>
        <v/>
      </c>
      <c r="AA27" s="15" t="str">
        <f>IF('Munkatárs kiutazások'!B31&lt;&gt;"",'Munkatárs kiutazások'!G31*'Munkatárs kiutazások'!J31,"")</f>
        <v/>
      </c>
    </row>
    <row r="28" spans="2:27" x14ac:dyDescent="0.25">
      <c r="B28" s="111" t="str">
        <f t="shared" si="3"/>
        <v>1. országcsoport</v>
      </c>
      <c r="C28" s="112" t="s">
        <v>37</v>
      </c>
      <c r="D28" s="113">
        <v>56</v>
      </c>
      <c r="E28" s="113">
        <f t="shared" si="4"/>
        <v>39</v>
      </c>
      <c r="F28" s="113">
        <f t="shared" si="5"/>
        <v>112</v>
      </c>
      <c r="G28" s="114">
        <f t="shared" si="6"/>
        <v>80</v>
      </c>
      <c r="N28" s="15" t="str">
        <f>IF(AND('Tanuló kiutazások'!AD32&lt;&gt;"",'Tanuló kiutazások'!AD32&gt;0),'Tanuló kiutazások'!D32,"")</f>
        <v/>
      </c>
      <c r="O28" s="15" t="str">
        <f>IF('Tanuló kiutazások'!B32&lt;&gt;"",IF('Tanuló kiutazások'!Z32="Jogosult igényelni",IF('Tanuló kiutazások'!AD32&gt;0,'Tanuló kiutazások'!AA32*'Tanuló kiutazások'!AD32*VLOOKUP('Tanuló kiutazások'!C32,Segédlet!$C$5:$G$37,4,0),0),0),"")</f>
        <v/>
      </c>
      <c r="P28" s="15" t="str">
        <f>IF('Tanuló kiutazások'!B32&lt;&gt;"",IF('Tanuló kiutazások'!Z32="Jogosult igényelni",IF('Tanuló kiutazások'!AD32&gt;0,1*'Tanuló kiutazások'!AD32*VLOOKUP('Tanuló kiutazások'!C32,Segédlet!$C$5:$G$37,4,0),0),0),"")</f>
        <v/>
      </c>
      <c r="Q28" s="15" t="str">
        <f>IF('Tanuló kiutazások'!B32&lt;&gt;"",IF(AND('Tanuló kiutazások'!Z32="Jogosult igényelni",'Tanuló kiutazások'!AD32&gt;0),'Tanuló kiutazások'!AA32,0),"")</f>
        <v/>
      </c>
      <c r="R28" s="15" t="str">
        <f>IF('Tanuló kiutazások'!B32&lt;&gt;"",IF(AND('Tanuló kiutazások'!Z32="Jogosult igényelni",'Tanuló kiutazások'!AD32&gt;0),1,0),"")</f>
        <v/>
      </c>
      <c r="S28" s="15" t="str">
        <f>IF('Tanuló kiutazások'!B32&lt;&gt;"",IF('Tanuló kiutazások'!Z32="Jogosult igényelni",IF(AND('Tanuló kiutazások'!AC32&gt;0,'Tanuló kiutazások'!AF32&gt;0),(1+'Tanuló kiutazások'!AA32-'Tanuló kiutazások'!AC32)*VLOOKUP('Tanuló kiutazások'!P32,$I$5:$J$12,2,0),IF('Tanuló kiutazások'!AD32&gt;0,(1+'Tanuló kiutazások'!AA32)*VLOOKUP('Tanuló kiutazások'!P32,$I$5:$J$12,2,0),0)),0),"")</f>
        <v/>
      </c>
      <c r="T28" s="15" t="str">
        <f t="shared" si="0"/>
        <v/>
      </c>
      <c r="U28" s="15" t="str">
        <f t="shared" si="1"/>
        <v/>
      </c>
      <c r="V28" s="15" t="str">
        <f>IF('Tanuló kiutazások'!AD32&gt;0,'Tanuló kiutazások'!AD32,0)</f>
        <v/>
      </c>
      <c r="W28" s="15" t="str">
        <f t="shared" si="2"/>
        <v/>
      </c>
      <c r="X28" s="23" t="str">
        <f>IF('Tanuló kiutazások'!B32&lt;&gt;"",'Tanuló kiutazások'!G32*'Tanuló kiutazások'!N32,"")</f>
        <v/>
      </c>
      <c r="Y28" s="23" t="str">
        <f>IF('Tanuló kiutazások'!B32&lt;&gt;"",('Tanuló kiutazások'!L32+'Tanuló kiutazások'!M32)*'Tanuló kiutazások'!K32,"")</f>
        <v/>
      </c>
      <c r="Z28" s="15" t="str">
        <f>IF('Munkatárs kiutazások'!B32&lt;&gt;"",'Munkatárs kiutazások'!G32*'Munkatárs kiutazások'!K32,"")</f>
        <v/>
      </c>
      <c r="AA28" s="15" t="str">
        <f>IF('Munkatárs kiutazások'!B32&lt;&gt;"",'Munkatárs kiutazások'!G32*'Munkatárs kiutazások'!J32,"")</f>
        <v/>
      </c>
    </row>
    <row r="29" spans="2:27" x14ac:dyDescent="0.25">
      <c r="B29" s="111" t="str">
        <f t="shared" si="3"/>
        <v>3. országcsoport</v>
      </c>
      <c r="C29" s="112" t="s">
        <v>38</v>
      </c>
      <c r="D29" s="113">
        <v>41</v>
      </c>
      <c r="E29" s="113">
        <f t="shared" si="4"/>
        <v>29</v>
      </c>
      <c r="F29" s="113">
        <f t="shared" si="5"/>
        <v>87</v>
      </c>
      <c r="G29" s="114">
        <f t="shared" si="6"/>
        <v>61</v>
      </c>
      <c r="N29" s="15" t="str">
        <f>IF(AND('Tanuló kiutazások'!AD33&lt;&gt;"",'Tanuló kiutazások'!AD33&gt;0),'Tanuló kiutazások'!D33,"")</f>
        <v/>
      </c>
      <c r="O29" s="15" t="str">
        <f>IF('Tanuló kiutazások'!B33&lt;&gt;"",IF('Tanuló kiutazások'!Z33="Jogosult igényelni",IF('Tanuló kiutazások'!AD33&gt;0,'Tanuló kiutazások'!AA33*'Tanuló kiutazások'!AD33*VLOOKUP('Tanuló kiutazások'!C33,Segédlet!$C$5:$G$37,4,0),0),0),"")</f>
        <v/>
      </c>
      <c r="P29" s="15" t="str">
        <f>IF('Tanuló kiutazások'!B33&lt;&gt;"",IF('Tanuló kiutazások'!Z33="Jogosult igényelni",IF('Tanuló kiutazások'!AD33&gt;0,1*'Tanuló kiutazások'!AD33*VLOOKUP('Tanuló kiutazások'!C33,Segédlet!$C$5:$G$37,4,0),0),0),"")</f>
        <v/>
      </c>
      <c r="Q29" s="15" t="str">
        <f>IF('Tanuló kiutazások'!B33&lt;&gt;"",IF(AND('Tanuló kiutazások'!Z33="Jogosult igényelni",'Tanuló kiutazások'!AD33&gt;0),'Tanuló kiutazások'!AA33,0),"")</f>
        <v/>
      </c>
      <c r="R29" s="15" t="str">
        <f>IF('Tanuló kiutazások'!B33&lt;&gt;"",IF(AND('Tanuló kiutazások'!Z33="Jogosult igényelni",'Tanuló kiutazások'!AD33&gt;0),1,0),"")</f>
        <v/>
      </c>
      <c r="S29" s="15" t="str">
        <f>IF('Tanuló kiutazások'!B33&lt;&gt;"",IF('Tanuló kiutazások'!Z33="Jogosult igényelni",IF(AND('Tanuló kiutazások'!AC33&gt;0,'Tanuló kiutazások'!AF33&gt;0),(1+'Tanuló kiutazások'!AA33-'Tanuló kiutazások'!AC33)*VLOOKUP('Tanuló kiutazások'!P33,$I$5:$J$12,2,0),IF('Tanuló kiutazások'!AD33&gt;0,(1+'Tanuló kiutazások'!AA33)*VLOOKUP('Tanuló kiutazások'!P33,$I$5:$J$12,2,0),0)),0),"")</f>
        <v/>
      </c>
      <c r="T29" s="15" t="str">
        <f t="shared" si="0"/>
        <v/>
      </c>
      <c r="U29" s="15" t="str">
        <f t="shared" si="1"/>
        <v/>
      </c>
      <c r="V29" s="15" t="str">
        <f>IF('Tanuló kiutazások'!AD33&gt;0,'Tanuló kiutazások'!AD33,0)</f>
        <v/>
      </c>
      <c r="W29" s="15" t="str">
        <f t="shared" si="2"/>
        <v/>
      </c>
      <c r="X29" s="23" t="str">
        <f>IF('Tanuló kiutazások'!B33&lt;&gt;"",'Tanuló kiutazások'!G33*'Tanuló kiutazások'!N33,"")</f>
        <v/>
      </c>
      <c r="Y29" s="23" t="str">
        <f>IF('Tanuló kiutazások'!B33&lt;&gt;"",('Tanuló kiutazások'!L33+'Tanuló kiutazások'!M33)*'Tanuló kiutazások'!K33,"")</f>
        <v/>
      </c>
      <c r="Z29" s="15" t="str">
        <f>IF('Munkatárs kiutazások'!B33&lt;&gt;"",'Munkatárs kiutazások'!G33*'Munkatárs kiutazások'!K33,"")</f>
        <v/>
      </c>
      <c r="AA29" s="15" t="str">
        <f>IF('Munkatárs kiutazások'!B33&lt;&gt;"",'Munkatárs kiutazások'!G33*'Munkatárs kiutazások'!J33,"")</f>
        <v/>
      </c>
    </row>
    <row r="30" spans="2:27" x14ac:dyDescent="0.25">
      <c r="B30" s="111" t="str">
        <f t="shared" si="3"/>
        <v>2. országcsoport</v>
      </c>
      <c r="C30" s="112" t="s">
        <v>39</v>
      </c>
      <c r="D30" s="113">
        <v>49</v>
      </c>
      <c r="E30" s="113">
        <f t="shared" si="4"/>
        <v>34</v>
      </c>
      <c r="F30" s="113">
        <f t="shared" si="5"/>
        <v>99</v>
      </c>
      <c r="G30" s="114">
        <f t="shared" si="6"/>
        <v>70</v>
      </c>
      <c r="N30" s="15" t="str">
        <f>IF(AND('Tanuló kiutazások'!AD34&lt;&gt;"",'Tanuló kiutazások'!AD34&gt;0),'Tanuló kiutazások'!D34,"")</f>
        <v/>
      </c>
      <c r="O30" s="15" t="str">
        <f>IF('Tanuló kiutazások'!B34&lt;&gt;"",IF('Tanuló kiutazások'!Z34="Jogosult igényelni",IF('Tanuló kiutazások'!AD34&gt;0,'Tanuló kiutazások'!AA34*'Tanuló kiutazások'!AD34*VLOOKUP('Tanuló kiutazások'!C34,Segédlet!$C$5:$G$37,4,0),0),0),"")</f>
        <v/>
      </c>
      <c r="P30" s="15" t="str">
        <f>IF('Tanuló kiutazások'!B34&lt;&gt;"",IF('Tanuló kiutazások'!Z34="Jogosult igényelni",IF('Tanuló kiutazások'!AD34&gt;0,1*'Tanuló kiutazások'!AD34*VLOOKUP('Tanuló kiutazások'!C34,Segédlet!$C$5:$G$37,4,0),0),0),"")</f>
        <v/>
      </c>
      <c r="Q30" s="15" t="str">
        <f>IF('Tanuló kiutazások'!B34&lt;&gt;"",IF(AND('Tanuló kiutazások'!Z34="Jogosult igényelni",'Tanuló kiutazások'!AD34&gt;0),'Tanuló kiutazások'!AA34,0),"")</f>
        <v/>
      </c>
      <c r="R30" s="15" t="str">
        <f>IF('Tanuló kiutazások'!B34&lt;&gt;"",IF(AND('Tanuló kiutazások'!Z34="Jogosult igényelni",'Tanuló kiutazások'!AD34&gt;0),1,0),"")</f>
        <v/>
      </c>
      <c r="S30" s="15" t="str">
        <f>IF('Tanuló kiutazások'!B34&lt;&gt;"",IF('Tanuló kiutazások'!Z34="Jogosult igényelni",IF(AND('Tanuló kiutazások'!AC34&gt;0,'Tanuló kiutazások'!AF34&gt;0),(1+'Tanuló kiutazások'!AA34-'Tanuló kiutazások'!AC34)*VLOOKUP('Tanuló kiutazások'!P34,$I$5:$J$12,2,0),IF('Tanuló kiutazások'!AD34&gt;0,(1+'Tanuló kiutazások'!AA34)*VLOOKUP('Tanuló kiutazások'!P34,$I$5:$J$12,2,0),0)),0),"")</f>
        <v/>
      </c>
      <c r="T30" s="15" t="str">
        <f t="shared" si="0"/>
        <v/>
      </c>
      <c r="U30" s="15" t="str">
        <f t="shared" si="1"/>
        <v/>
      </c>
      <c r="V30" s="15" t="str">
        <f>IF('Tanuló kiutazások'!AD34&gt;0,'Tanuló kiutazások'!AD34,0)</f>
        <v/>
      </c>
      <c r="W30" s="15" t="str">
        <f t="shared" si="2"/>
        <v/>
      </c>
      <c r="X30" s="23" t="str">
        <f>IF('Tanuló kiutazások'!B34&lt;&gt;"",'Tanuló kiutazások'!G34*'Tanuló kiutazások'!N34,"")</f>
        <v/>
      </c>
      <c r="Y30" s="23" t="str">
        <f>IF('Tanuló kiutazások'!B34&lt;&gt;"",('Tanuló kiutazások'!L34+'Tanuló kiutazások'!M34)*'Tanuló kiutazások'!K34,"")</f>
        <v/>
      </c>
      <c r="Z30" s="15" t="str">
        <f>IF('Munkatárs kiutazások'!B34&lt;&gt;"",'Munkatárs kiutazások'!G34*'Munkatárs kiutazások'!K34,"")</f>
        <v/>
      </c>
      <c r="AA30" s="15" t="str">
        <f>IF('Munkatárs kiutazások'!B34&lt;&gt;"",'Munkatárs kiutazások'!G34*'Munkatárs kiutazások'!J34,"")</f>
        <v/>
      </c>
    </row>
    <row r="31" spans="2:27" x14ac:dyDescent="0.25">
      <c r="B31" s="111" t="str">
        <f t="shared" si="3"/>
        <v>3. országcsoport</v>
      </c>
      <c r="C31" s="112" t="s">
        <v>40</v>
      </c>
      <c r="D31" s="113">
        <v>41</v>
      </c>
      <c r="E31" s="113">
        <f t="shared" si="4"/>
        <v>29</v>
      </c>
      <c r="F31" s="113">
        <f t="shared" si="5"/>
        <v>87</v>
      </c>
      <c r="G31" s="114">
        <f t="shared" si="6"/>
        <v>61</v>
      </c>
      <c r="N31" s="15" t="str">
        <f>IF(AND('Tanuló kiutazások'!AD35&lt;&gt;"",'Tanuló kiutazások'!AD35&gt;0),'Tanuló kiutazások'!D35,"")</f>
        <v/>
      </c>
      <c r="O31" s="15" t="str">
        <f>IF('Tanuló kiutazások'!B35&lt;&gt;"",IF('Tanuló kiutazások'!Z35="Jogosult igényelni",IF('Tanuló kiutazások'!AD35&gt;0,'Tanuló kiutazások'!AA35*'Tanuló kiutazások'!AD35*VLOOKUP('Tanuló kiutazások'!C35,Segédlet!$C$5:$G$37,4,0),0),0),"")</f>
        <v/>
      </c>
      <c r="P31" s="15" t="str">
        <f>IF('Tanuló kiutazások'!B35&lt;&gt;"",IF('Tanuló kiutazások'!Z35="Jogosult igényelni",IF('Tanuló kiutazások'!AD35&gt;0,1*'Tanuló kiutazások'!AD35*VLOOKUP('Tanuló kiutazások'!C35,Segédlet!$C$5:$G$37,4,0),0),0),"")</f>
        <v/>
      </c>
      <c r="Q31" s="15" t="str">
        <f>IF('Tanuló kiutazások'!B35&lt;&gt;"",IF(AND('Tanuló kiutazások'!Z35="Jogosult igényelni",'Tanuló kiutazások'!AD35&gt;0),'Tanuló kiutazások'!AA35,0),"")</f>
        <v/>
      </c>
      <c r="R31" s="15" t="str">
        <f>IF('Tanuló kiutazások'!B35&lt;&gt;"",IF(AND('Tanuló kiutazások'!Z35="Jogosult igényelni",'Tanuló kiutazások'!AD35&gt;0),1,0),"")</f>
        <v/>
      </c>
      <c r="S31" s="15" t="str">
        <f>IF('Tanuló kiutazások'!B35&lt;&gt;"",IF('Tanuló kiutazások'!Z35="Jogosult igényelni",IF(AND('Tanuló kiutazások'!AC35&gt;0,'Tanuló kiutazások'!AF35&gt;0),(1+'Tanuló kiutazások'!AA35-'Tanuló kiutazások'!AC35)*VLOOKUP('Tanuló kiutazások'!P35,$I$5:$J$12,2,0),IF('Tanuló kiutazások'!AD35&gt;0,(1+'Tanuló kiutazások'!AA35)*VLOOKUP('Tanuló kiutazások'!P35,$I$5:$J$12,2,0),0)),0),"")</f>
        <v/>
      </c>
      <c r="T31" s="15" t="str">
        <f t="shared" si="0"/>
        <v/>
      </c>
      <c r="U31" s="15" t="str">
        <f t="shared" si="1"/>
        <v/>
      </c>
      <c r="V31" s="15" t="str">
        <f>IF('Tanuló kiutazások'!AD35&gt;0,'Tanuló kiutazások'!AD35,0)</f>
        <v/>
      </c>
      <c r="W31" s="15" t="str">
        <f t="shared" si="2"/>
        <v/>
      </c>
      <c r="X31" s="23" t="str">
        <f>IF('Tanuló kiutazások'!B35&lt;&gt;"",'Tanuló kiutazások'!G35*'Tanuló kiutazások'!N35,"")</f>
        <v/>
      </c>
      <c r="Y31" s="23" t="str">
        <f>IF('Tanuló kiutazások'!B35&lt;&gt;"",('Tanuló kiutazások'!L35+'Tanuló kiutazások'!M35)*'Tanuló kiutazások'!K35,"")</f>
        <v/>
      </c>
      <c r="Z31" s="15" t="str">
        <f>IF('Munkatárs kiutazások'!B35&lt;&gt;"",'Munkatárs kiutazások'!G35*'Munkatárs kiutazások'!K35,"")</f>
        <v/>
      </c>
      <c r="AA31" s="15" t="str">
        <f>IF('Munkatárs kiutazások'!B35&lt;&gt;"",'Munkatárs kiutazások'!G35*'Munkatárs kiutazások'!J35,"")</f>
        <v/>
      </c>
    </row>
    <row r="32" spans="2:27" x14ac:dyDescent="0.25">
      <c r="B32" s="111" t="str">
        <f t="shared" si="3"/>
        <v>1. országcsoport</v>
      </c>
      <c r="C32" s="112" t="s">
        <v>41</v>
      </c>
      <c r="D32" s="113">
        <v>56</v>
      </c>
      <c r="E32" s="113">
        <f t="shared" si="4"/>
        <v>39</v>
      </c>
      <c r="F32" s="113">
        <f t="shared" si="5"/>
        <v>112</v>
      </c>
      <c r="G32" s="114">
        <f t="shared" si="6"/>
        <v>80</v>
      </c>
      <c r="N32" s="15" t="str">
        <f>IF(AND('Tanuló kiutazások'!AD36&lt;&gt;"",'Tanuló kiutazások'!AD36&gt;0),'Tanuló kiutazások'!D36,"")</f>
        <v/>
      </c>
      <c r="O32" s="15" t="str">
        <f>IF('Tanuló kiutazások'!B36&lt;&gt;"",IF('Tanuló kiutazások'!Z36="Jogosult igényelni",IF('Tanuló kiutazások'!AD36&gt;0,'Tanuló kiutazások'!AA36*'Tanuló kiutazások'!AD36*VLOOKUP('Tanuló kiutazások'!C36,Segédlet!$C$5:$G$37,4,0),0),0),"")</f>
        <v/>
      </c>
      <c r="P32" s="15" t="str">
        <f>IF('Tanuló kiutazások'!B36&lt;&gt;"",IF('Tanuló kiutazások'!Z36="Jogosult igényelni",IF('Tanuló kiutazások'!AD36&gt;0,1*'Tanuló kiutazások'!AD36*VLOOKUP('Tanuló kiutazások'!C36,Segédlet!$C$5:$G$37,4,0),0),0),"")</f>
        <v/>
      </c>
      <c r="Q32" s="15" t="str">
        <f>IF('Tanuló kiutazások'!B36&lt;&gt;"",IF(AND('Tanuló kiutazások'!Z36="Jogosult igényelni",'Tanuló kiutazások'!AD36&gt;0),'Tanuló kiutazások'!AA36,0),"")</f>
        <v/>
      </c>
      <c r="R32" s="15" t="str">
        <f>IF('Tanuló kiutazások'!B36&lt;&gt;"",IF(AND('Tanuló kiutazások'!Z36="Jogosult igényelni",'Tanuló kiutazások'!AD36&gt;0),1,0),"")</f>
        <v/>
      </c>
      <c r="S32" s="15" t="str">
        <f>IF('Tanuló kiutazások'!B36&lt;&gt;"",IF('Tanuló kiutazások'!Z36="Jogosult igényelni",IF(AND('Tanuló kiutazások'!AC36&gt;0,'Tanuló kiutazások'!AF36&gt;0),(1+'Tanuló kiutazások'!AA36-'Tanuló kiutazások'!AC36)*VLOOKUP('Tanuló kiutazások'!P36,$I$5:$J$12,2,0),IF('Tanuló kiutazások'!AD36&gt;0,(1+'Tanuló kiutazások'!AA36)*VLOOKUP('Tanuló kiutazások'!P36,$I$5:$J$12,2,0),0)),0),"")</f>
        <v/>
      </c>
      <c r="T32" s="15" t="str">
        <f t="shared" si="0"/>
        <v/>
      </c>
      <c r="U32" s="15" t="str">
        <f t="shared" si="1"/>
        <v/>
      </c>
      <c r="V32" s="15" t="str">
        <f>IF('Tanuló kiutazások'!AD36&gt;0,'Tanuló kiutazások'!AD36,0)</f>
        <v/>
      </c>
      <c r="W32" s="15" t="str">
        <f t="shared" si="2"/>
        <v/>
      </c>
      <c r="X32" s="23" t="str">
        <f>IF('Tanuló kiutazások'!B36&lt;&gt;"",'Tanuló kiutazások'!G36*'Tanuló kiutazások'!N36,"")</f>
        <v/>
      </c>
      <c r="Y32" s="23" t="str">
        <f>IF('Tanuló kiutazások'!B36&lt;&gt;"",('Tanuló kiutazások'!L36+'Tanuló kiutazások'!M36)*'Tanuló kiutazások'!K36,"")</f>
        <v/>
      </c>
      <c r="Z32" s="15" t="str">
        <f>IF('Munkatárs kiutazások'!B36&lt;&gt;"",'Munkatárs kiutazások'!G36*'Munkatárs kiutazások'!K36,"")</f>
        <v/>
      </c>
      <c r="AA32" s="15" t="str">
        <f>IF('Munkatárs kiutazások'!B36&lt;&gt;"",'Munkatárs kiutazások'!G36*'Munkatárs kiutazások'!J36,"")</f>
        <v/>
      </c>
    </row>
    <row r="33" spans="2:27" x14ac:dyDescent="0.25">
      <c r="B33" s="111" t="str">
        <f t="shared" si="3"/>
        <v>3. országcsoport</v>
      </c>
      <c r="C33" s="112" t="s">
        <v>49</v>
      </c>
      <c r="D33" s="113">
        <v>41</v>
      </c>
      <c r="E33" s="113">
        <f t="shared" si="4"/>
        <v>29</v>
      </c>
      <c r="F33" s="113">
        <f t="shared" si="5"/>
        <v>87</v>
      </c>
      <c r="G33" s="114">
        <f t="shared" si="6"/>
        <v>61</v>
      </c>
      <c r="N33" s="15" t="str">
        <f>IF(AND('Tanuló kiutazások'!AD37&lt;&gt;"",'Tanuló kiutazások'!AD37&gt;0),'Tanuló kiutazások'!D37,"")</f>
        <v/>
      </c>
      <c r="O33" s="15" t="str">
        <f>IF('Tanuló kiutazások'!B37&lt;&gt;"",IF('Tanuló kiutazások'!Z37="Jogosult igényelni",IF('Tanuló kiutazások'!AD37&gt;0,'Tanuló kiutazások'!AA37*'Tanuló kiutazások'!AD37*VLOOKUP('Tanuló kiutazások'!C37,Segédlet!$C$5:$G$37,4,0),0),0),"")</f>
        <v/>
      </c>
      <c r="P33" s="15" t="str">
        <f>IF('Tanuló kiutazások'!B37&lt;&gt;"",IF('Tanuló kiutazások'!Z37="Jogosult igényelni",IF('Tanuló kiutazások'!AD37&gt;0,1*'Tanuló kiutazások'!AD37*VLOOKUP('Tanuló kiutazások'!C37,Segédlet!$C$5:$G$37,4,0),0),0),"")</f>
        <v/>
      </c>
      <c r="Q33" s="15" t="str">
        <f>IF('Tanuló kiutazások'!B37&lt;&gt;"",IF(AND('Tanuló kiutazások'!Z37="Jogosult igényelni",'Tanuló kiutazások'!AD37&gt;0),'Tanuló kiutazások'!AA37,0),"")</f>
        <v/>
      </c>
      <c r="R33" s="15" t="str">
        <f>IF('Tanuló kiutazások'!B37&lt;&gt;"",IF(AND('Tanuló kiutazások'!Z37="Jogosult igényelni",'Tanuló kiutazások'!AD37&gt;0),1,0),"")</f>
        <v/>
      </c>
      <c r="S33" s="15" t="str">
        <f>IF('Tanuló kiutazások'!B37&lt;&gt;"",IF('Tanuló kiutazások'!Z37="Jogosult igényelni",IF(AND('Tanuló kiutazások'!AC37&gt;0,'Tanuló kiutazások'!AF37&gt;0),(1+'Tanuló kiutazások'!AA37-'Tanuló kiutazások'!AC37)*VLOOKUP('Tanuló kiutazások'!P37,$I$5:$J$12,2,0),IF('Tanuló kiutazások'!AD37&gt;0,(1+'Tanuló kiutazások'!AA37)*VLOOKUP('Tanuló kiutazások'!P37,$I$5:$J$12,2,0),0)),0),"")</f>
        <v/>
      </c>
      <c r="T33" s="15" t="str">
        <f t="shared" si="0"/>
        <v/>
      </c>
      <c r="U33" s="15" t="str">
        <f t="shared" si="1"/>
        <v/>
      </c>
      <c r="V33" s="15" t="str">
        <f>IF('Tanuló kiutazások'!AD37&gt;0,'Tanuló kiutazások'!AD37,0)</f>
        <v/>
      </c>
      <c r="W33" s="15" t="str">
        <f t="shared" si="2"/>
        <v/>
      </c>
      <c r="X33" s="23" t="str">
        <f>IF('Tanuló kiutazások'!B37&lt;&gt;"",'Tanuló kiutazások'!G37*'Tanuló kiutazások'!N37,"")</f>
        <v/>
      </c>
      <c r="Y33" s="23" t="str">
        <f>IF('Tanuló kiutazások'!B37&lt;&gt;"",('Tanuló kiutazások'!L37+'Tanuló kiutazások'!M37)*'Tanuló kiutazások'!K37,"")</f>
        <v/>
      </c>
      <c r="Z33" s="15" t="str">
        <f>IF('Munkatárs kiutazások'!B37&lt;&gt;"",'Munkatárs kiutazások'!G37*'Munkatárs kiutazások'!K37,"")</f>
        <v/>
      </c>
      <c r="AA33" s="15" t="str">
        <f>IF('Munkatárs kiutazások'!B37&lt;&gt;"",'Munkatárs kiutazások'!G37*'Munkatárs kiutazások'!J37,"")</f>
        <v/>
      </c>
    </row>
    <row r="34" spans="2:27" x14ac:dyDescent="0.25">
      <c r="B34" s="111" t="str">
        <f t="shared" si="3"/>
        <v>3. országcsoport</v>
      </c>
      <c r="C34" s="112" t="s">
        <v>42</v>
      </c>
      <c r="D34" s="113">
        <v>41</v>
      </c>
      <c r="E34" s="113">
        <f t="shared" si="4"/>
        <v>29</v>
      </c>
      <c r="F34" s="113">
        <f t="shared" si="5"/>
        <v>87</v>
      </c>
      <c r="G34" s="114">
        <f t="shared" si="6"/>
        <v>61</v>
      </c>
      <c r="N34" s="15" t="str">
        <f>IF(AND('Tanuló kiutazások'!AD38&lt;&gt;"",'Tanuló kiutazások'!AD38&gt;0),'Tanuló kiutazások'!D38,"")</f>
        <v/>
      </c>
      <c r="O34" s="15" t="str">
        <f>IF('Tanuló kiutazások'!B38&lt;&gt;"",IF('Tanuló kiutazások'!Z38="Jogosult igényelni",IF('Tanuló kiutazások'!AD38&gt;0,'Tanuló kiutazások'!AA38*'Tanuló kiutazások'!AD38*VLOOKUP('Tanuló kiutazások'!C38,Segédlet!$C$5:$G$37,4,0),0),0),"")</f>
        <v/>
      </c>
      <c r="P34" s="15" t="str">
        <f>IF('Tanuló kiutazások'!B38&lt;&gt;"",IF('Tanuló kiutazások'!Z38="Jogosult igényelni",IF('Tanuló kiutazások'!AD38&gt;0,1*'Tanuló kiutazások'!AD38*VLOOKUP('Tanuló kiutazások'!C38,Segédlet!$C$5:$G$37,4,0),0),0),"")</f>
        <v/>
      </c>
      <c r="Q34" s="15" t="str">
        <f>IF('Tanuló kiutazások'!B38&lt;&gt;"",IF(AND('Tanuló kiutazások'!Z38="Jogosult igényelni",'Tanuló kiutazások'!AD38&gt;0),'Tanuló kiutazások'!AA38,0),"")</f>
        <v/>
      </c>
      <c r="R34" s="15" t="str">
        <f>IF('Tanuló kiutazások'!B38&lt;&gt;"",IF(AND('Tanuló kiutazások'!Z38="Jogosult igényelni",'Tanuló kiutazások'!AD38&gt;0),1,0),"")</f>
        <v/>
      </c>
      <c r="S34" s="15" t="str">
        <f>IF('Tanuló kiutazások'!B38&lt;&gt;"",IF('Tanuló kiutazások'!Z38="Jogosult igényelni",IF(AND('Tanuló kiutazások'!AC38&gt;0,'Tanuló kiutazások'!AF38&gt;0),(1+'Tanuló kiutazások'!AA38-'Tanuló kiutazások'!AC38)*VLOOKUP('Tanuló kiutazások'!P38,$I$5:$J$12,2,0),IF('Tanuló kiutazások'!AD38&gt;0,(1+'Tanuló kiutazások'!AA38)*VLOOKUP('Tanuló kiutazások'!P38,$I$5:$J$12,2,0),0)),0),"")</f>
        <v/>
      </c>
      <c r="T34" s="15" t="str">
        <f t="shared" si="0"/>
        <v/>
      </c>
      <c r="U34" s="15" t="str">
        <f t="shared" si="1"/>
        <v/>
      </c>
      <c r="V34" s="15" t="str">
        <f>IF('Tanuló kiutazások'!AD38&gt;0,'Tanuló kiutazások'!AD38,0)</f>
        <v/>
      </c>
      <c r="W34" s="15" t="str">
        <f t="shared" si="2"/>
        <v/>
      </c>
      <c r="X34" s="23" t="str">
        <f>IF('Tanuló kiutazások'!B38&lt;&gt;"",'Tanuló kiutazások'!G38*'Tanuló kiutazások'!N38,"")</f>
        <v/>
      </c>
      <c r="Y34" s="23" t="str">
        <f>IF('Tanuló kiutazások'!B38&lt;&gt;"",('Tanuló kiutazások'!L38+'Tanuló kiutazások'!M38)*'Tanuló kiutazások'!K38,"")</f>
        <v/>
      </c>
      <c r="Z34" s="15" t="str">
        <f>IF('Munkatárs kiutazások'!B38&lt;&gt;"",'Munkatárs kiutazások'!G38*'Munkatárs kiutazások'!K38,"")</f>
        <v/>
      </c>
      <c r="AA34" s="15" t="str">
        <f>IF('Munkatárs kiutazások'!B38&lt;&gt;"",'Munkatárs kiutazások'!G38*'Munkatárs kiutazások'!J38,"")</f>
        <v/>
      </c>
    </row>
    <row r="35" spans="2:27" x14ac:dyDescent="0.25">
      <c r="B35" s="111" t="str">
        <f t="shared" si="3"/>
        <v>3. országcsoport</v>
      </c>
      <c r="C35" s="112" t="s">
        <v>43</v>
      </c>
      <c r="D35" s="113">
        <v>41</v>
      </c>
      <c r="E35" s="113">
        <f t="shared" si="4"/>
        <v>29</v>
      </c>
      <c r="F35" s="113">
        <f t="shared" si="5"/>
        <v>87</v>
      </c>
      <c r="G35" s="114">
        <f t="shared" si="6"/>
        <v>61</v>
      </c>
      <c r="N35" s="15" t="str">
        <f>IF(AND('Tanuló kiutazások'!AD39&lt;&gt;"",'Tanuló kiutazások'!AD39&gt;0),'Tanuló kiutazások'!D39,"")</f>
        <v/>
      </c>
      <c r="O35" s="15" t="str">
        <f>IF('Tanuló kiutazások'!B39&lt;&gt;"",IF('Tanuló kiutazások'!Z39="Jogosult igényelni",IF('Tanuló kiutazások'!AD39&gt;0,'Tanuló kiutazások'!AA39*'Tanuló kiutazások'!AD39*VLOOKUP('Tanuló kiutazások'!C39,Segédlet!$C$5:$G$37,4,0),0),0),"")</f>
        <v/>
      </c>
      <c r="P35" s="15" t="str">
        <f>IF('Tanuló kiutazások'!B39&lt;&gt;"",IF('Tanuló kiutazások'!Z39="Jogosult igényelni",IF('Tanuló kiutazások'!AD39&gt;0,1*'Tanuló kiutazások'!AD39*VLOOKUP('Tanuló kiutazások'!C39,Segédlet!$C$5:$G$37,4,0),0),0),"")</f>
        <v/>
      </c>
      <c r="Q35" s="15" t="str">
        <f>IF('Tanuló kiutazások'!B39&lt;&gt;"",IF(AND('Tanuló kiutazások'!Z39="Jogosult igényelni",'Tanuló kiutazások'!AD39&gt;0),'Tanuló kiutazások'!AA39,0),"")</f>
        <v/>
      </c>
      <c r="R35" s="15" t="str">
        <f>IF('Tanuló kiutazások'!B39&lt;&gt;"",IF(AND('Tanuló kiutazások'!Z39="Jogosult igényelni",'Tanuló kiutazások'!AD39&gt;0),1,0),"")</f>
        <v/>
      </c>
      <c r="S35" s="15" t="str">
        <f>IF('Tanuló kiutazások'!B39&lt;&gt;"",IF('Tanuló kiutazások'!Z39="Jogosult igényelni",IF(AND('Tanuló kiutazások'!AC39&gt;0,'Tanuló kiutazások'!AF39&gt;0),(1+'Tanuló kiutazások'!AA39-'Tanuló kiutazások'!AC39)*VLOOKUP('Tanuló kiutazások'!P39,$I$5:$J$12,2,0),IF('Tanuló kiutazások'!AD39&gt;0,(1+'Tanuló kiutazások'!AA39)*VLOOKUP('Tanuló kiutazások'!P39,$I$5:$J$12,2,0),0)),0),"")</f>
        <v/>
      </c>
      <c r="T35" s="15" t="str">
        <f t="shared" si="0"/>
        <v/>
      </c>
      <c r="U35" s="15" t="str">
        <f t="shared" si="1"/>
        <v/>
      </c>
      <c r="V35" s="15" t="str">
        <f>IF('Tanuló kiutazások'!AD39&gt;0,'Tanuló kiutazások'!AD39,0)</f>
        <v/>
      </c>
      <c r="W35" s="15" t="str">
        <f t="shared" si="2"/>
        <v/>
      </c>
      <c r="X35" s="23" t="str">
        <f>IF('Tanuló kiutazások'!B39&lt;&gt;"",'Tanuló kiutazások'!G39*'Tanuló kiutazások'!N39,"")</f>
        <v/>
      </c>
      <c r="Y35" s="23" t="str">
        <f>IF('Tanuló kiutazások'!B39&lt;&gt;"",('Tanuló kiutazások'!L39+'Tanuló kiutazások'!M39)*'Tanuló kiutazások'!K39,"")</f>
        <v/>
      </c>
      <c r="Z35" s="15" t="str">
        <f>IF('Munkatárs kiutazások'!B39&lt;&gt;"",'Munkatárs kiutazások'!G39*'Munkatárs kiutazások'!K39,"")</f>
        <v/>
      </c>
      <c r="AA35" s="15" t="str">
        <f>IF('Munkatárs kiutazások'!B39&lt;&gt;"",'Munkatárs kiutazások'!G39*'Munkatárs kiutazások'!J39,"")</f>
        <v/>
      </c>
    </row>
    <row r="36" spans="2:27" x14ac:dyDescent="0.25">
      <c r="B36" s="111" t="str">
        <f t="shared" si="3"/>
        <v>3. országcsoport</v>
      </c>
      <c r="C36" s="112" t="s">
        <v>44</v>
      </c>
      <c r="D36" s="113">
        <v>41</v>
      </c>
      <c r="E36" s="113">
        <f t="shared" si="4"/>
        <v>29</v>
      </c>
      <c r="F36" s="113">
        <f t="shared" si="5"/>
        <v>87</v>
      </c>
      <c r="G36" s="114">
        <f t="shared" si="6"/>
        <v>61</v>
      </c>
      <c r="N36" s="15" t="str">
        <f>IF(AND('Tanuló kiutazások'!AD40&lt;&gt;"",'Tanuló kiutazások'!AD40&gt;0),'Tanuló kiutazások'!D40,"")</f>
        <v/>
      </c>
      <c r="O36" s="15" t="str">
        <f>IF('Tanuló kiutazások'!B40&lt;&gt;"",IF('Tanuló kiutazások'!Z40="Jogosult igényelni",IF('Tanuló kiutazások'!AD40&gt;0,'Tanuló kiutazások'!AA40*'Tanuló kiutazások'!AD40*VLOOKUP('Tanuló kiutazások'!C40,Segédlet!$C$5:$G$37,4,0),0),0),"")</f>
        <v/>
      </c>
      <c r="P36" s="15" t="str">
        <f>IF('Tanuló kiutazások'!B40&lt;&gt;"",IF('Tanuló kiutazások'!Z40="Jogosult igényelni",IF('Tanuló kiutazások'!AD40&gt;0,1*'Tanuló kiutazások'!AD40*VLOOKUP('Tanuló kiutazások'!C40,Segédlet!$C$5:$G$37,4,0),0),0),"")</f>
        <v/>
      </c>
      <c r="Q36" s="15" t="str">
        <f>IF('Tanuló kiutazások'!B40&lt;&gt;"",IF(AND('Tanuló kiutazások'!Z40="Jogosult igényelni",'Tanuló kiutazások'!AD40&gt;0),'Tanuló kiutazások'!AA40,0),"")</f>
        <v/>
      </c>
      <c r="R36" s="15" t="str">
        <f>IF('Tanuló kiutazások'!B40&lt;&gt;"",IF(AND('Tanuló kiutazások'!Z40="Jogosult igényelni",'Tanuló kiutazások'!AD40&gt;0),1,0),"")</f>
        <v/>
      </c>
      <c r="S36" s="15" t="str">
        <f>IF('Tanuló kiutazások'!B40&lt;&gt;"",IF('Tanuló kiutazások'!Z40="Jogosult igényelni",IF(AND('Tanuló kiutazások'!AC40&gt;0,'Tanuló kiutazások'!AF40&gt;0),(1+'Tanuló kiutazások'!AA40-'Tanuló kiutazások'!AC40)*VLOOKUP('Tanuló kiutazások'!P40,$I$5:$J$12,2,0),IF('Tanuló kiutazások'!AD40&gt;0,(1+'Tanuló kiutazások'!AA40)*VLOOKUP('Tanuló kiutazások'!P40,$I$5:$J$12,2,0),0)),0),"")</f>
        <v/>
      </c>
      <c r="T36" s="15" t="str">
        <f t="shared" si="0"/>
        <v/>
      </c>
      <c r="U36" s="15" t="str">
        <f t="shared" si="1"/>
        <v/>
      </c>
      <c r="V36" s="15" t="str">
        <f>IF('Tanuló kiutazások'!AD40&gt;0,'Tanuló kiutazások'!AD40,0)</f>
        <v/>
      </c>
      <c r="W36" s="15" t="str">
        <f t="shared" si="2"/>
        <v/>
      </c>
      <c r="X36" s="23" t="str">
        <f>IF('Tanuló kiutazások'!B40&lt;&gt;"",'Tanuló kiutazások'!G40*'Tanuló kiutazások'!N40,"")</f>
        <v/>
      </c>
      <c r="Y36" s="23" t="str">
        <f>IF('Tanuló kiutazások'!B40&lt;&gt;"",('Tanuló kiutazások'!L40+'Tanuló kiutazások'!M40)*'Tanuló kiutazások'!K40,"")</f>
        <v/>
      </c>
      <c r="Z36" s="15" t="str">
        <f>IF('Munkatárs kiutazások'!B40&lt;&gt;"",'Munkatárs kiutazások'!G40*'Munkatárs kiutazások'!K40,"")</f>
        <v/>
      </c>
      <c r="AA36" s="15" t="str">
        <f>IF('Munkatárs kiutazások'!B40&lt;&gt;"",'Munkatárs kiutazások'!G40*'Munkatárs kiutazások'!J40,"")</f>
        <v/>
      </c>
    </row>
    <row r="37" spans="2:27" ht="15.75" thickBot="1" x14ac:dyDescent="0.3">
      <c r="B37" s="122" t="str">
        <f t="shared" si="3"/>
        <v>1. országcsoport</v>
      </c>
      <c r="C37" s="123" t="s">
        <v>45</v>
      </c>
      <c r="D37" s="124">
        <v>56</v>
      </c>
      <c r="E37" s="124">
        <f t="shared" si="4"/>
        <v>39</v>
      </c>
      <c r="F37" s="124">
        <f t="shared" si="5"/>
        <v>112</v>
      </c>
      <c r="G37" s="125">
        <f t="shared" si="6"/>
        <v>80</v>
      </c>
      <c r="N37" s="15" t="str">
        <f>IF(AND('Tanuló kiutazások'!AD41&lt;&gt;"",'Tanuló kiutazások'!AD41&gt;0),'Tanuló kiutazások'!D41,"")</f>
        <v/>
      </c>
      <c r="O37" s="15" t="str">
        <f>IF('Tanuló kiutazások'!B41&lt;&gt;"",IF('Tanuló kiutazások'!Z41="Jogosult igényelni",IF('Tanuló kiutazások'!AD41&gt;0,'Tanuló kiutazások'!AA41*'Tanuló kiutazások'!AD41*VLOOKUP('Tanuló kiutazások'!C41,Segédlet!$C$5:$G$37,4,0),0),0),"")</f>
        <v/>
      </c>
      <c r="P37" s="15" t="str">
        <f>IF('Tanuló kiutazások'!B41&lt;&gt;"",IF('Tanuló kiutazások'!Z41="Jogosult igényelni",IF('Tanuló kiutazások'!AD41&gt;0,1*'Tanuló kiutazások'!AD41*VLOOKUP('Tanuló kiutazások'!C41,Segédlet!$C$5:$G$37,4,0),0),0),"")</f>
        <v/>
      </c>
      <c r="Q37" s="15" t="str">
        <f>IF('Tanuló kiutazások'!B41&lt;&gt;"",IF(AND('Tanuló kiutazások'!Z41="Jogosult igényelni",'Tanuló kiutazások'!AD41&gt;0),'Tanuló kiutazások'!AA41,0),"")</f>
        <v/>
      </c>
      <c r="R37" s="15" t="str">
        <f>IF('Tanuló kiutazások'!B41&lt;&gt;"",IF(AND('Tanuló kiutazások'!Z41="Jogosult igényelni",'Tanuló kiutazások'!AD41&gt;0),1,0),"")</f>
        <v/>
      </c>
      <c r="S37" s="15" t="str">
        <f>IF('Tanuló kiutazások'!B41&lt;&gt;"",IF('Tanuló kiutazások'!Z41="Jogosult igényelni",IF(AND('Tanuló kiutazások'!AC41&gt;0,'Tanuló kiutazások'!AF41&gt;0),(1+'Tanuló kiutazások'!AA41-'Tanuló kiutazások'!AC41)*VLOOKUP('Tanuló kiutazások'!P41,$I$5:$J$12,2,0),IF('Tanuló kiutazások'!AD41&gt;0,(1+'Tanuló kiutazások'!AA41)*VLOOKUP('Tanuló kiutazások'!P41,$I$5:$J$12,2,0),0)),0),"")</f>
        <v/>
      </c>
      <c r="T37" s="15" t="str">
        <f t="shared" si="0"/>
        <v/>
      </c>
      <c r="U37" s="15" t="str">
        <f t="shared" si="1"/>
        <v/>
      </c>
      <c r="V37" s="15" t="str">
        <f>IF('Tanuló kiutazások'!AD41&gt;0,'Tanuló kiutazások'!AD41,0)</f>
        <v/>
      </c>
      <c r="W37" s="15" t="str">
        <f t="shared" si="2"/>
        <v/>
      </c>
      <c r="X37" s="23" t="str">
        <f>IF('Tanuló kiutazások'!B41&lt;&gt;"",'Tanuló kiutazások'!G41*'Tanuló kiutazások'!N41,"")</f>
        <v/>
      </c>
      <c r="Y37" s="23" t="str">
        <f>IF('Tanuló kiutazások'!B41&lt;&gt;"",('Tanuló kiutazások'!L41+'Tanuló kiutazások'!M41)*'Tanuló kiutazások'!K41,"")</f>
        <v/>
      </c>
      <c r="Z37" s="15" t="str">
        <f>IF('Munkatárs kiutazások'!B41&lt;&gt;"",'Munkatárs kiutazások'!G41*'Munkatárs kiutazások'!K41,"")</f>
        <v/>
      </c>
      <c r="AA37" s="15" t="str">
        <f>IF('Munkatárs kiutazások'!B41&lt;&gt;"",'Munkatárs kiutazások'!G41*'Munkatárs kiutazások'!J41,"")</f>
        <v/>
      </c>
    </row>
    <row r="38" spans="2:27" x14ac:dyDescent="0.25">
      <c r="N38" s="15" t="str">
        <f>IF(AND('Tanuló kiutazások'!AD42&lt;&gt;"",'Tanuló kiutazások'!AD42&gt;0),'Tanuló kiutazások'!D42,"")</f>
        <v/>
      </c>
      <c r="O38" s="15" t="str">
        <f>IF('Tanuló kiutazások'!B42&lt;&gt;"",IF('Tanuló kiutazások'!Z42="Jogosult igényelni",IF('Tanuló kiutazások'!AD42&gt;0,'Tanuló kiutazások'!AA42*'Tanuló kiutazások'!AD42*VLOOKUP('Tanuló kiutazások'!C42,Segédlet!$C$5:$G$37,4,0),0),0),"")</f>
        <v/>
      </c>
      <c r="P38" s="15" t="str">
        <f>IF('Tanuló kiutazások'!B42&lt;&gt;"",IF('Tanuló kiutazások'!Z42="Jogosult igényelni",IF('Tanuló kiutazások'!AD42&gt;0,1*'Tanuló kiutazások'!AD42*VLOOKUP('Tanuló kiutazások'!C42,Segédlet!$C$5:$G$37,4,0),0),0),"")</f>
        <v/>
      </c>
      <c r="Q38" s="15" t="str">
        <f>IF('Tanuló kiutazások'!B42&lt;&gt;"",IF(AND('Tanuló kiutazások'!Z42="Jogosult igényelni",'Tanuló kiutazások'!AD42&gt;0),'Tanuló kiutazások'!AA42,0),"")</f>
        <v/>
      </c>
      <c r="R38" s="15" t="str">
        <f>IF('Tanuló kiutazások'!B42&lt;&gt;"",IF(AND('Tanuló kiutazások'!Z42="Jogosult igényelni",'Tanuló kiutazások'!AD42&gt;0),1,0),"")</f>
        <v/>
      </c>
      <c r="S38" s="15" t="str">
        <f>IF('Tanuló kiutazások'!B42&lt;&gt;"",IF('Tanuló kiutazások'!Z42="Jogosult igényelni",IF(AND('Tanuló kiutazások'!AC42&gt;0,'Tanuló kiutazások'!AF42&gt;0),(1+'Tanuló kiutazások'!AA42-'Tanuló kiutazások'!AC42)*VLOOKUP('Tanuló kiutazások'!P42,$I$5:$J$12,2,0),IF('Tanuló kiutazások'!AD42&gt;0,(1+'Tanuló kiutazások'!AA42)*VLOOKUP('Tanuló kiutazások'!P42,$I$5:$J$12,2,0),0)),0),"")</f>
        <v/>
      </c>
      <c r="T38" s="15" t="str">
        <f t="shared" si="0"/>
        <v/>
      </c>
      <c r="U38" s="15" t="str">
        <f t="shared" si="1"/>
        <v/>
      </c>
      <c r="V38" s="15" t="str">
        <f>IF('Tanuló kiutazások'!AD42&gt;0,'Tanuló kiutazások'!AD42,0)</f>
        <v/>
      </c>
      <c r="W38" s="15" t="str">
        <f t="shared" si="2"/>
        <v/>
      </c>
      <c r="X38" s="23" t="str">
        <f>IF('Tanuló kiutazások'!B42&lt;&gt;"",'Tanuló kiutazások'!G42*'Tanuló kiutazások'!N42,"")</f>
        <v/>
      </c>
      <c r="Y38" s="23" t="str">
        <f>IF('Tanuló kiutazások'!B42&lt;&gt;"",('Tanuló kiutazások'!L42+'Tanuló kiutazások'!M42)*'Tanuló kiutazások'!K42,"")</f>
        <v/>
      </c>
      <c r="Z38" s="15" t="str">
        <f>IF('Munkatárs kiutazások'!B42&lt;&gt;"",'Munkatárs kiutazások'!G42*'Munkatárs kiutazások'!K42,"")</f>
        <v/>
      </c>
      <c r="AA38" s="15" t="str">
        <f>IF('Munkatárs kiutazások'!B42&lt;&gt;"",'Munkatárs kiutazások'!G42*'Munkatárs kiutazások'!J42,"")</f>
        <v/>
      </c>
    </row>
    <row r="39" spans="2:27" x14ac:dyDescent="0.25">
      <c r="N39" s="15" t="str">
        <f>IF(AND('Tanuló kiutazások'!AD43&lt;&gt;"",'Tanuló kiutazások'!AD43&gt;0),'Tanuló kiutazások'!D43,"")</f>
        <v/>
      </c>
      <c r="O39" s="15" t="str">
        <f>IF('Tanuló kiutazások'!B43&lt;&gt;"",IF('Tanuló kiutazások'!Z43="Jogosult igényelni",IF('Tanuló kiutazások'!AD43&gt;0,'Tanuló kiutazások'!AA43*'Tanuló kiutazások'!AD43*VLOOKUP('Tanuló kiutazások'!C43,Segédlet!$C$5:$G$37,4,0),0),0),"")</f>
        <v/>
      </c>
      <c r="P39" s="15" t="str">
        <f>IF('Tanuló kiutazások'!B43&lt;&gt;"",IF('Tanuló kiutazások'!Z43="Jogosult igényelni",IF('Tanuló kiutazások'!AD43&gt;0,1*'Tanuló kiutazások'!AD43*VLOOKUP('Tanuló kiutazások'!C43,Segédlet!$C$5:$G$37,4,0),0),0),"")</f>
        <v/>
      </c>
      <c r="Q39" s="15" t="str">
        <f>IF('Tanuló kiutazások'!B43&lt;&gt;"",IF(AND('Tanuló kiutazások'!Z43="Jogosult igényelni",'Tanuló kiutazások'!AD43&gt;0),'Tanuló kiutazások'!AA43,0),"")</f>
        <v/>
      </c>
      <c r="R39" s="15" t="str">
        <f>IF('Tanuló kiutazások'!B43&lt;&gt;"",IF(AND('Tanuló kiutazások'!Z43="Jogosult igényelni",'Tanuló kiutazások'!AD43&gt;0),1,0),"")</f>
        <v/>
      </c>
      <c r="S39" s="15" t="str">
        <f>IF('Tanuló kiutazások'!B43&lt;&gt;"",IF('Tanuló kiutazások'!Z43="Jogosult igényelni",IF(AND('Tanuló kiutazások'!AC43&gt;0,'Tanuló kiutazások'!AF43&gt;0),(1+'Tanuló kiutazások'!AA43-'Tanuló kiutazások'!AC43)*VLOOKUP('Tanuló kiutazások'!P43,$I$5:$J$12,2,0),IF('Tanuló kiutazások'!AD43&gt;0,(1+'Tanuló kiutazások'!AA43)*VLOOKUP('Tanuló kiutazások'!P43,$I$5:$J$12,2,0),0)),0),"")</f>
        <v/>
      </c>
      <c r="T39" s="15" t="str">
        <f t="shared" si="0"/>
        <v/>
      </c>
      <c r="U39" s="15" t="str">
        <f t="shared" si="1"/>
        <v/>
      </c>
      <c r="V39" s="15" t="str">
        <f>IF('Tanuló kiutazások'!AD43&gt;0,'Tanuló kiutazások'!AD43,0)</f>
        <v/>
      </c>
      <c r="W39" s="15" t="str">
        <f t="shared" si="2"/>
        <v/>
      </c>
      <c r="X39" s="23" t="str">
        <f>IF('Tanuló kiutazások'!B43&lt;&gt;"",'Tanuló kiutazások'!G43*'Tanuló kiutazások'!N43,"")</f>
        <v/>
      </c>
      <c r="Y39" s="23" t="str">
        <f>IF('Tanuló kiutazások'!B43&lt;&gt;"",('Tanuló kiutazások'!L43+'Tanuló kiutazások'!M43)*'Tanuló kiutazások'!K43,"")</f>
        <v/>
      </c>
      <c r="Z39" s="15" t="str">
        <f>IF('Munkatárs kiutazások'!B43&lt;&gt;"",'Munkatárs kiutazások'!G43*'Munkatárs kiutazások'!K43,"")</f>
        <v/>
      </c>
      <c r="AA39" s="15" t="str">
        <f>IF('Munkatárs kiutazások'!B43&lt;&gt;"",'Munkatárs kiutazások'!G43*'Munkatárs kiutazások'!J43,"")</f>
        <v/>
      </c>
    </row>
    <row r="40" spans="2:27" x14ac:dyDescent="0.25">
      <c r="N40" s="15" t="str">
        <f>IF(AND('Tanuló kiutazások'!AD44&lt;&gt;"",'Tanuló kiutazások'!AD44&gt;0),'Tanuló kiutazások'!D44,"")</f>
        <v/>
      </c>
      <c r="O40" s="15" t="str">
        <f>IF('Tanuló kiutazások'!B44&lt;&gt;"",IF('Tanuló kiutazások'!Z44="Jogosult igényelni",IF('Tanuló kiutazások'!AD44&gt;0,'Tanuló kiutazások'!AA44*'Tanuló kiutazások'!AD44*VLOOKUP('Tanuló kiutazások'!C44,Segédlet!$C$5:$G$37,4,0),0),0),"")</f>
        <v/>
      </c>
      <c r="P40" s="15" t="str">
        <f>IF('Tanuló kiutazások'!B44&lt;&gt;"",IF('Tanuló kiutazások'!Z44="Jogosult igényelni",IF('Tanuló kiutazások'!AD44&gt;0,1*'Tanuló kiutazások'!AD44*VLOOKUP('Tanuló kiutazások'!C44,Segédlet!$C$5:$G$37,4,0),0),0),"")</f>
        <v/>
      </c>
      <c r="Q40" s="15" t="str">
        <f>IF('Tanuló kiutazások'!B44&lt;&gt;"",IF(AND('Tanuló kiutazások'!Z44="Jogosult igényelni",'Tanuló kiutazások'!AD44&gt;0),'Tanuló kiutazások'!AA44,0),"")</f>
        <v/>
      </c>
      <c r="R40" s="15" t="str">
        <f>IF('Tanuló kiutazások'!B44&lt;&gt;"",IF(AND('Tanuló kiutazások'!Z44="Jogosult igényelni",'Tanuló kiutazások'!AD44&gt;0),1,0),"")</f>
        <v/>
      </c>
      <c r="S40" s="15" t="str">
        <f>IF('Tanuló kiutazások'!B44&lt;&gt;"",IF('Tanuló kiutazások'!Z44="Jogosult igényelni",IF(AND('Tanuló kiutazások'!AC44&gt;0,'Tanuló kiutazások'!AF44&gt;0),(1+'Tanuló kiutazások'!AA44-'Tanuló kiutazások'!AC44)*VLOOKUP('Tanuló kiutazások'!P44,$I$5:$J$12,2,0),IF('Tanuló kiutazások'!AD44&gt;0,(1+'Tanuló kiutazások'!AA44)*VLOOKUP('Tanuló kiutazások'!P44,$I$5:$J$12,2,0),0)),0),"")</f>
        <v/>
      </c>
      <c r="T40" s="15" t="str">
        <f t="shared" si="0"/>
        <v/>
      </c>
      <c r="U40" s="15" t="str">
        <f t="shared" si="1"/>
        <v/>
      </c>
      <c r="V40" s="15" t="str">
        <f>IF('Tanuló kiutazások'!AD44&gt;0,'Tanuló kiutazások'!AD44,0)</f>
        <v/>
      </c>
      <c r="W40" s="15" t="str">
        <f t="shared" si="2"/>
        <v/>
      </c>
      <c r="X40" s="23" t="str">
        <f>IF('Tanuló kiutazások'!B44&lt;&gt;"",'Tanuló kiutazások'!G44*'Tanuló kiutazások'!N44,"")</f>
        <v/>
      </c>
      <c r="Y40" s="23" t="str">
        <f>IF('Tanuló kiutazások'!B44&lt;&gt;"",('Tanuló kiutazások'!L44+'Tanuló kiutazások'!M44)*'Tanuló kiutazások'!K44,"")</f>
        <v/>
      </c>
      <c r="Z40" s="15" t="str">
        <f>IF('Munkatárs kiutazások'!B44&lt;&gt;"",'Munkatárs kiutazások'!G44*'Munkatárs kiutazások'!K44,"")</f>
        <v/>
      </c>
      <c r="AA40" s="15" t="str">
        <f>IF('Munkatárs kiutazások'!B44&lt;&gt;"",'Munkatárs kiutazások'!G44*'Munkatárs kiutazások'!J44,"")</f>
        <v/>
      </c>
    </row>
    <row r="41" spans="2:27" x14ac:dyDescent="0.25">
      <c r="N41" s="15" t="str">
        <f>IF(AND('Tanuló kiutazások'!AD45&lt;&gt;"",'Tanuló kiutazások'!AD45&gt;0),'Tanuló kiutazások'!D45,"")</f>
        <v/>
      </c>
      <c r="O41" s="15" t="str">
        <f>IF('Tanuló kiutazások'!B45&lt;&gt;"",IF('Tanuló kiutazások'!Z45="Jogosult igényelni",IF('Tanuló kiutazások'!AD45&gt;0,'Tanuló kiutazások'!AA45*'Tanuló kiutazások'!AD45*VLOOKUP('Tanuló kiutazások'!C45,Segédlet!$C$5:$G$37,4,0),0),0),"")</f>
        <v/>
      </c>
      <c r="P41" s="15" t="str">
        <f>IF('Tanuló kiutazások'!B45&lt;&gt;"",IF('Tanuló kiutazások'!Z45="Jogosult igényelni",IF('Tanuló kiutazások'!AD45&gt;0,1*'Tanuló kiutazások'!AD45*VLOOKUP('Tanuló kiutazások'!C45,Segédlet!$C$5:$G$37,4,0),0),0),"")</f>
        <v/>
      </c>
      <c r="Q41" s="15" t="str">
        <f>IF('Tanuló kiutazások'!B45&lt;&gt;"",IF(AND('Tanuló kiutazások'!Z45="Jogosult igényelni",'Tanuló kiutazások'!AD45&gt;0),'Tanuló kiutazások'!AA45,0),"")</f>
        <v/>
      </c>
      <c r="R41" s="15" t="str">
        <f>IF('Tanuló kiutazások'!B45&lt;&gt;"",IF(AND('Tanuló kiutazások'!Z45="Jogosult igényelni",'Tanuló kiutazások'!AD45&gt;0),1,0),"")</f>
        <v/>
      </c>
      <c r="S41" s="15" t="str">
        <f>IF('Tanuló kiutazások'!B45&lt;&gt;"",IF('Tanuló kiutazások'!Z45="Jogosult igényelni",IF(AND('Tanuló kiutazások'!AC45&gt;0,'Tanuló kiutazások'!AF45&gt;0),(1+'Tanuló kiutazások'!AA45-'Tanuló kiutazások'!AC45)*VLOOKUP('Tanuló kiutazások'!P45,$I$5:$J$12,2,0),IF('Tanuló kiutazások'!AD45&gt;0,(1+'Tanuló kiutazások'!AA45)*VLOOKUP('Tanuló kiutazások'!P45,$I$5:$J$12,2,0),0)),0),"")</f>
        <v/>
      </c>
      <c r="T41" s="15" t="str">
        <f t="shared" si="0"/>
        <v/>
      </c>
      <c r="U41" s="15" t="str">
        <f t="shared" si="1"/>
        <v/>
      </c>
      <c r="V41" s="15" t="str">
        <f>IF('Tanuló kiutazások'!AD45&gt;0,'Tanuló kiutazások'!AD45,0)</f>
        <v/>
      </c>
      <c r="W41" s="15" t="str">
        <f t="shared" si="2"/>
        <v/>
      </c>
      <c r="X41" s="23" t="str">
        <f>IF('Tanuló kiutazások'!B45&lt;&gt;"",'Tanuló kiutazások'!G45*'Tanuló kiutazások'!N45,"")</f>
        <v/>
      </c>
      <c r="Y41" s="23" t="str">
        <f>IF('Tanuló kiutazások'!B45&lt;&gt;"",('Tanuló kiutazások'!L45+'Tanuló kiutazások'!M45)*'Tanuló kiutazások'!K45,"")</f>
        <v/>
      </c>
      <c r="Z41" s="15" t="str">
        <f>IF('Munkatárs kiutazások'!B45&lt;&gt;"",'Munkatárs kiutazások'!G45*'Munkatárs kiutazások'!K45,"")</f>
        <v/>
      </c>
      <c r="AA41" s="15" t="str">
        <f>IF('Munkatárs kiutazások'!B45&lt;&gt;"",'Munkatárs kiutazások'!G45*'Munkatárs kiutazások'!J45,"")</f>
        <v/>
      </c>
    </row>
    <row r="42" spans="2:27" x14ac:dyDescent="0.25">
      <c r="N42" s="15" t="str">
        <f>IF(AND('Tanuló kiutazások'!AD46&lt;&gt;"",'Tanuló kiutazások'!AD46&gt;0),'Tanuló kiutazások'!D46,"")</f>
        <v/>
      </c>
      <c r="O42" s="15" t="str">
        <f>IF('Tanuló kiutazások'!B46&lt;&gt;"",IF('Tanuló kiutazások'!Z46="Jogosult igényelni",IF('Tanuló kiutazások'!AD46&gt;0,'Tanuló kiutazások'!AA46*'Tanuló kiutazások'!AD46*VLOOKUP('Tanuló kiutazások'!C46,Segédlet!$C$5:$G$37,4,0),0),0),"")</f>
        <v/>
      </c>
      <c r="P42" s="15" t="str">
        <f>IF('Tanuló kiutazások'!B46&lt;&gt;"",IF('Tanuló kiutazások'!Z46="Jogosult igényelni",IF('Tanuló kiutazások'!AD46&gt;0,1*'Tanuló kiutazások'!AD46*VLOOKUP('Tanuló kiutazások'!C46,Segédlet!$C$5:$G$37,4,0),0),0),"")</f>
        <v/>
      </c>
      <c r="Q42" s="15" t="str">
        <f>IF('Tanuló kiutazások'!B46&lt;&gt;"",IF(AND('Tanuló kiutazások'!Z46="Jogosult igényelni",'Tanuló kiutazások'!AD46&gt;0),'Tanuló kiutazások'!AA46,0),"")</f>
        <v/>
      </c>
      <c r="R42" s="15" t="str">
        <f>IF('Tanuló kiutazások'!B46&lt;&gt;"",IF(AND('Tanuló kiutazások'!Z46="Jogosult igényelni",'Tanuló kiutazások'!AD46&gt;0),1,0),"")</f>
        <v/>
      </c>
      <c r="S42" s="15" t="str">
        <f>IF('Tanuló kiutazások'!B46&lt;&gt;"",IF('Tanuló kiutazások'!Z46="Jogosult igényelni",IF(AND('Tanuló kiutazások'!AC46&gt;0,'Tanuló kiutazások'!AF46&gt;0),(1+'Tanuló kiutazások'!AA46-'Tanuló kiutazások'!AC46)*VLOOKUP('Tanuló kiutazások'!P46,$I$5:$J$12,2,0),IF('Tanuló kiutazások'!AD46&gt;0,(1+'Tanuló kiutazások'!AA46)*VLOOKUP('Tanuló kiutazások'!P46,$I$5:$J$12,2,0),0)),0),"")</f>
        <v/>
      </c>
      <c r="T42" s="15" t="str">
        <f t="shared" si="0"/>
        <v/>
      </c>
      <c r="U42" s="15" t="str">
        <f t="shared" si="1"/>
        <v/>
      </c>
      <c r="V42" s="15" t="str">
        <f>IF('Tanuló kiutazások'!AD46&gt;0,'Tanuló kiutazások'!AD46,0)</f>
        <v/>
      </c>
      <c r="W42" s="15" t="str">
        <f t="shared" si="2"/>
        <v/>
      </c>
      <c r="X42" s="23" t="str">
        <f>IF('Tanuló kiutazások'!B46&lt;&gt;"",'Tanuló kiutazások'!G46*'Tanuló kiutazások'!N46,"")</f>
        <v/>
      </c>
      <c r="Y42" s="23" t="str">
        <f>IF('Tanuló kiutazások'!B46&lt;&gt;"",('Tanuló kiutazások'!L46+'Tanuló kiutazások'!M46)*'Tanuló kiutazások'!K46,"")</f>
        <v/>
      </c>
      <c r="Z42" s="15" t="str">
        <f>IF('Munkatárs kiutazások'!B46&lt;&gt;"",'Munkatárs kiutazások'!G46*'Munkatárs kiutazások'!K46,"")</f>
        <v/>
      </c>
      <c r="AA42" s="15" t="str">
        <f>IF('Munkatárs kiutazások'!B46&lt;&gt;"",'Munkatárs kiutazások'!G46*'Munkatárs kiutazások'!J46,"")</f>
        <v/>
      </c>
    </row>
    <row r="43" spans="2:27" x14ac:dyDescent="0.25">
      <c r="N43" s="15" t="str">
        <f>IF(AND('Tanuló kiutazások'!AD47&lt;&gt;"",'Tanuló kiutazások'!AD47&gt;0),'Tanuló kiutazások'!D47,"")</f>
        <v/>
      </c>
      <c r="O43" s="15" t="str">
        <f>IF('Tanuló kiutazások'!B47&lt;&gt;"",IF('Tanuló kiutazások'!Z47="Jogosult igényelni",IF('Tanuló kiutazások'!AD47&gt;0,'Tanuló kiutazások'!AA47*'Tanuló kiutazások'!AD47*VLOOKUP('Tanuló kiutazások'!C47,Segédlet!$C$5:$G$37,4,0),0),0),"")</f>
        <v/>
      </c>
      <c r="P43" s="15" t="str">
        <f>IF('Tanuló kiutazások'!B47&lt;&gt;"",IF('Tanuló kiutazások'!Z47="Jogosult igényelni",IF('Tanuló kiutazások'!AD47&gt;0,1*'Tanuló kiutazások'!AD47*VLOOKUP('Tanuló kiutazások'!C47,Segédlet!$C$5:$G$37,4,0),0),0),"")</f>
        <v/>
      </c>
      <c r="Q43" s="15" t="str">
        <f>IF('Tanuló kiutazások'!B47&lt;&gt;"",IF(AND('Tanuló kiutazások'!Z47="Jogosult igényelni",'Tanuló kiutazások'!AD47&gt;0),'Tanuló kiutazások'!AA47,0),"")</f>
        <v/>
      </c>
      <c r="R43" s="15" t="str">
        <f>IF('Tanuló kiutazások'!B47&lt;&gt;"",IF(AND('Tanuló kiutazások'!Z47="Jogosult igényelni",'Tanuló kiutazások'!AD47&gt;0),1,0),"")</f>
        <v/>
      </c>
      <c r="S43" s="15" t="str">
        <f>IF('Tanuló kiutazások'!B47&lt;&gt;"",IF('Tanuló kiutazások'!Z47="Jogosult igényelni",IF(AND('Tanuló kiutazások'!AC47&gt;0,'Tanuló kiutazások'!AF47&gt;0),(1+'Tanuló kiutazások'!AA47-'Tanuló kiutazások'!AC47)*VLOOKUP('Tanuló kiutazások'!P47,$I$5:$J$12,2,0),IF('Tanuló kiutazások'!AD47&gt;0,(1+'Tanuló kiutazások'!AA47)*VLOOKUP('Tanuló kiutazások'!P47,$I$5:$J$12,2,0),0)),0),"")</f>
        <v/>
      </c>
      <c r="T43" s="15" t="str">
        <f t="shared" si="0"/>
        <v/>
      </c>
      <c r="U43" s="15" t="str">
        <f t="shared" si="1"/>
        <v/>
      </c>
      <c r="V43" s="15" t="str">
        <f>IF('Tanuló kiutazások'!AD47&gt;0,'Tanuló kiutazások'!AD47,0)</f>
        <v/>
      </c>
      <c r="W43" s="15" t="str">
        <f t="shared" si="2"/>
        <v/>
      </c>
      <c r="X43" s="23" t="str">
        <f>IF('Tanuló kiutazások'!B47&lt;&gt;"",'Tanuló kiutazások'!G47*'Tanuló kiutazások'!N47,"")</f>
        <v/>
      </c>
      <c r="Y43" s="23" t="str">
        <f>IF('Tanuló kiutazások'!B47&lt;&gt;"",('Tanuló kiutazások'!L47+'Tanuló kiutazások'!M47)*'Tanuló kiutazások'!K47,"")</f>
        <v/>
      </c>
      <c r="Z43" s="15" t="str">
        <f>IF('Munkatárs kiutazások'!B47&lt;&gt;"",'Munkatárs kiutazások'!G47*'Munkatárs kiutazások'!K47,"")</f>
        <v/>
      </c>
      <c r="AA43" s="15" t="str">
        <f>IF('Munkatárs kiutazások'!B47&lt;&gt;"",'Munkatárs kiutazások'!G47*'Munkatárs kiutazások'!J47,"")</f>
        <v/>
      </c>
    </row>
    <row r="44" spans="2:27" x14ac:dyDescent="0.25">
      <c r="N44" s="15" t="str">
        <f>IF(AND('Tanuló kiutazások'!AD48&lt;&gt;"",'Tanuló kiutazások'!AD48&gt;0),'Tanuló kiutazások'!D48,"")</f>
        <v/>
      </c>
      <c r="O44" s="15" t="str">
        <f>IF('Tanuló kiutazások'!B48&lt;&gt;"",IF('Tanuló kiutazások'!Z48="Jogosult igényelni",IF('Tanuló kiutazások'!AD48&gt;0,'Tanuló kiutazások'!AA48*'Tanuló kiutazások'!AD48*VLOOKUP('Tanuló kiutazások'!C48,Segédlet!$C$5:$G$37,4,0),0),0),"")</f>
        <v/>
      </c>
      <c r="P44" s="15" t="str">
        <f>IF('Tanuló kiutazások'!B48&lt;&gt;"",IF('Tanuló kiutazások'!Z48="Jogosult igényelni",IF('Tanuló kiutazások'!AD48&gt;0,1*'Tanuló kiutazások'!AD48*VLOOKUP('Tanuló kiutazások'!C48,Segédlet!$C$5:$G$37,4,0),0),0),"")</f>
        <v/>
      </c>
      <c r="Q44" s="15" t="str">
        <f>IF('Tanuló kiutazások'!B48&lt;&gt;"",IF(AND('Tanuló kiutazások'!Z48="Jogosult igényelni",'Tanuló kiutazások'!AD48&gt;0),'Tanuló kiutazások'!AA48,0),"")</f>
        <v/>
      </c>
      <c r="R44" s="15" t="str">
        <f>IF('Tanuló kiutazások'!B48&lt;&gt;"",IF(AND('Tanuló kiutazások'!Z48="Jogosult igényelni",'Tanuló kiutazások'!AD48&gt;0),1,0),"")</f>
        <v/>
      </c>
      <c r="S44" s="15" t="str">
        <f>IF('Tanuló kiutazások'!B48&lt;&gt;"",IF('Tanuló kiutazások'!Z48="Jogosult igényelni",IF(AND('Tanuló kiutazások'!AC48&gt;0,'Tanuló kiutazások'!AF48&gt;0),(1+'Tanuló kiutazások'!AA48-'Tanuló kiutazások'!AC48)*VLOOKUP('Tanuló kiutazások'!P48,$I$5:$J$12,2,0),IF('Tanuló kiutazások'!AD48&gt;0,(1+'Tanuló kiutazások'!AA48)*VLOOKUP('Tanuló kiutazások'!P48,$I$5:$J$12,2,0),0)),0),"")</f>
        <v/>
      </c>
      <c r="T44" s="15" t="str">
        <f t="shared" si="0"/>
        <v/>
      </c>
      <c r="U44" s="15" t="str">
        <f t="shared" si="1"/>
        <v/>
      </c>
      <c r="V44" s="15" t="str">
        <f>IF('Tanuló kiutazások'!AD48&gt;0,'Tanuló kiutazások'!AD48,0)</f>
        <v/>
      </c>
      <c r="W44" s="15" t="str">
        <f t="shared" si="2"/>
        <v/>
      </c>
      <c r="X44" s="23" t="str">
        <f>IF('Tanuló kiutazások'!B48&lt;&gt;"",'Tanuló kiutazások'!G48*'Tanuló kiutazások'!N48,"")</f>
        <v/>
      </c>
      <c r="Y44" s="23" t="str">
        <f>IF('Tanuló kiutazások'!B48&lt;&gt;"",('Tanuló kiutazások'!L48+'Tanuló kiutazások'!M48)*'Tanuló kiutazások'!K48,"")</f>
        <v/>
      </c>
      <c r="Z44" s="15" t="str">
        <f>IF('Munkatárs kiutazások'!B48&lt;&gt;"",'Munkatárs kiutazások'!G48*'Munkatárs kiutazások'!K48,"")</f>
        <v/>
      </c>
      <c r="AA44" s="15" t="str">
        <f>IF('Munkatárs kiutazások'!B48&lt;&gt;"",'Munkatárs kiutazások'!G48*'Munkatárs kiutazások'!J48,"")</f>
        <v/>
      </c>
    </row>
    <row r="45" spans="2:27" x14ac:dyDescent="0.25">
      <c r="N45" s="15" t="str">
        <f>IF(AND('Tanuló kiutazások'!AD49&lt;&gt;"",'Tanuló kiutazások'!AD49&gt;0),'Tanuló kiutazások'!D49,"")</f>
        <v/>
      </c>
      <c r="O45" s="15" t="str">
        <f>IF('Tanuló kiutazások'!B49&lt;&gt;"",IF('Tanuló kiutazások'!Z49="Jogosult igényelni",IF('Tanuló kiutazások'!AD49&gt;0,'Tanuló kiutazások'!AA49*'Tanuló kiutazások'!AD49*VLOOKUP('Tanuló kiutazások'!C49,Segédlet!$C$5:$G$37,4,0),0),0),"")</f>
        <v/>
      </c>
      <c r="P45" s="15" t="str">
        <f>IF('Tanuló kiutazások'!B49&lt;&gt;"",IF('Tanuló kiutazások'!Z49="Jogosult igényelni",IF('Tanuló kiutazások'!AD49&gt;0,1*'Tanuló kiutazások'!AD49*VLOOKUP('Tanuló kiutazások'!C49,Segédlet!$C$5:$G$37,4,0),0),0),"")</f>
        <v/>
      </c>
      <c r="Q45" s="15" t="str">
        <f>IF('Tanuló kiutazások'!B49&lt;&gt;"",IF(AND('Tanuló kiutazások'!Z49="Jogosult igényelni",'Tanuló kiutazások'!AD49&gt;0),'Tanuló kiutazások'!AA49,0),"")</f>
        <v/>
      </c>
      <c r="R45" s="15" t="str">
        <f>IF('Tanuló kiutazások'!B49&lt;&gt;"",IF(AND('Tanuló kiutazások'!Z49="Jogosult igényelni",'Tanuló kiutazások'!AD49&gt;0),1,0),"")</f>
        <v/>
      </c>
      <c r="S45" s="15" t="str">
        <f>IF('Tanuló kiutazások'!B49&lt;&gt;"",IF('Tanuló kiutazások'!Z49="Jogosult igényelni",IF(AND('Tanuló kiutazások'!AC49&gt;0,'Tanuló kiutazások'!AF49&gt;0),(1+'Tanuló kiutazások'!AA49-'Tanuló kiutazások'!AC49)*VLOOKUP('Tanuló kiutazások'!P49,$I$5:$J$12,2,0),IF('Tanuló kiutazások'!AD49&gt;0,(1+'Tanuló kiutazások'!AA49)*VLOOKUP('Tanuló kiutazások'!P49,$I$5:$J$12,2,0),0)),0),"")</f>
        <v/>
      </c>
      <c r="T45" s="15" t="str">
        <f t="shared" si="0"/>
        <v/>
      </c>
      <c r="U45" s="15" t="str">
        <f t="shared" si="1"/>
        <v/>
      </c>
      <c r="V45" s="15" t="str">
        <f>IF('Tanuló kiutazások'!AD49&gt;0,'Tanuló kiutazások'!AD49,0)</f>
        <v/>
      </c>
      <c r="W45" s="15" t="str">
        <f t="shared" si="2"/>
        <v/>
      </c>
      <c r="X45" s="23" t="str">
        <f>IF('Tanuló kiutazások'!B49&lt;&gt;"",'Tanuló kiutazások'!G49*'Tanuló kiutazások'!N49,"")</f>
        <v/>
      </c>
      <c r="Y45" s="23" t="str">
        <f>IF('Tanuló kiutazások'!B49&lt;&gt;"",('Tanuló kiutazások'!L49+'Tanuló kiutazások'!M49)*'Tanuló kiutazások'!K49,"")</f>
        <v/>
      </c>
      <c r="Z45" s="15" t="str">
        <f>IF('Munkatárs kiutazások'!B49&lt;&gt;"",'Munkatárs kiutazások'!G49*'Munkatárs kiutazások'!K49,"")</f>
        <v/>
      </c>
      <c r="AA45" s="15" t="str">
        <f>IF('Munkatárs kiutazások'!B49&lt;&gt;"",'Munkatárs kiutazások'!G49*'Munkatárs kiutazások'!J49,"")</f>
        <v/>
      </c>
    </row>
    <row r="46" spans="2:27" x14ac:dyDescent="0.25">
      <c r="N46" s="15" t="str">
        <f>IF(AND('Tanuló kiutazások'!AD50&lt;&gt;"",'Tanuló kiutazások'!AD50&gt;0),'Tanuló kiutazások'!D50,"")</f>
        <v/>
      </c>
      <c r="O46" s="15" t="str">
        <f>IF('Tanuló kiutazások'!B50&lt;&gt;"",IF('Tanuló kiutazások'!Z50="Jogosult igényelni",IF('Tanuló kiutazások'!AD50&gt;0,'Tanuló kiutazások'!AA50*'Tanuló kiutazások'!AD50*VLOOKUP('Tanuló kiutazások'!C50,Segédlet!$C$5:$G$37,4,0),0),0),"")</f>
        <v/>
      </c>
      <c r="P46" s="15" t="str">
        <f>IF('Tanuló kiutazások'!B50&lt;&gt;"",IF('Tanuló kiutazások'!Z50="Jogosult igényelni",IF('Tanuló kiutazások'!AD50&gt;0,1*'Tanuló kiutazások'!AD50*VLOOKUP('Tanuló kiutazások'!C50,Segédlet!$C$5:$G$37,4,0),0),0),"")</f>
        <v/>
      </c>
      <c r="Q46" s="15" t="str">
        <f>IF('Tanuló kiutazások'!B50&lt;&gt;"",IF(AND('Tanuló kiutazások'!Z50="Jogosult igényelni",'Tanuló kiutazások'!AD50&gt;0),'Tanuló kiutazások'!AA50,0),"")</f>
        <v/>
      </c>
      <c r="R46" s="15" t="str">
        <f>IF('Tanuló kiutazások'!B50&lt;&gt;"",IF(AND('Tanuló kiutazások'!Z50="Jogosult igényelni",'Tanuló kiutazások'!AD50&gt;0),1,0),"")</f>
        <v/>
      </c>
      <c r="S46" s="15" t="str">
        <f>IF('Tanuló kiutazások'!B50&lt;&gt;"",IF('Tanuló kiutazások'!Z50="Jogosult igényelni",IF(AND('Tanuló kiutazások'!AC50&gt;0,'Tanuló kiutazások'!AF50&gt;0),(1+'Tanuló kiutazások'!AA50-'Tanuló kiutazások'!AC50)*VLOOKUP('Tanuló kiutazások'!P50,$I$5:$J$12,2,0),IF('Tanuló kiutazások'!AD50&gt;0,(1+'Tanuló kiutazások'!AA50)*VLOOKUP('Tanuló kiutazások'!P50,$I$5:$J$12,2,0),0)),0),"")</f>
        <v/>
      </c>
      <c r="T46" s="15" t="str">
        <f t="shared" si="0"/>
        <v/>
      </c>
      <c r="U46" s="15" t="str">
        <f t="shared" si="1"/>
        <v/>
      </c>
      <c r="V46" s="15" t="str">
        <f>IF('Tanuló kiutazások'!AD50&gt;0,'Tanuló kiutazások'!AD50,0)</f>
        <v/>
      </c>
      <c r="W46" s="15" t="str">
        <f t="shared" si="2"/>
        <v/>
      </c>
      <c r="X46" s="23" t="str">
        <f>IF('Tanuló kiutazások'!B50&lt;&gt;"",'Tanuló kiutazások'!G50*'Tanuló kiutazások'!N50,"")</f>
        <v/>
      </c>
      <c r="Y46" s="23" t="str">
        <f>IF('Tanuló kiutazások'!B50&lt;&gt;"",('Tanuló kiutazások'!L50+'Tanuló kiutazások'!M50)*'Tanuló kiutazások'!K50,"")</f>
        <v/>
      </c>
      <c r="Z46" s="15" t="str">
        <f>IF('Munkatárs kiutazások'!B50&lt;&gt;"",'Munkatárs kiutazások'!G50*'Munkatárs kiutazások'!K50,"")</f>
        <v/>
      </c>
      <c r="AA46" s="15" t="str">
        <f>IF('Munkatárs kiutazások'!B50&lt;&gt;"",'Munkatárs kiutazások'!G50*'Munkatárs kiutazások'!J50,"")</f>
        <v/>
      </c>
    </row>
    <row r="47" spans="2:27" x14ac:dyDescent="0.25">
      <c r="N47" s="15" t="str">
        <f>IF(AND('Tanuló kiutazások'!AD51&lt;&gt;"",'Tanuló kiutazások'!AD51&gt;0),'Tanuló kiutazások'!D51,"")</f>
        <v/>
      </c>
      <c r="O47" s="15" t="str">
        <f>IF('Tanuló kiutazások'!B51&lt;&gt;"",IF('Tanuló kiutazások'!Z51="Jogosult igényelni",IF('Tanuló kiutazások'!AD51&gt;0,'Tanuló kiutazások'!AA51*'Tanuló kiutazások'!AD51*VLOOKUP('Tanuló kiutazások'!C51,Segédlet!$C$5:$G$37,4,0),0),0),"")</f>
        <v/>
      </c>
      <c r="P47" s="15" t="str">
        <f>IF('Tanuló kiutazások'!B51&lt;&gt;"",IF('Tanuló kiutazások'!Z51="Jogosult igényelni",IF('Tanuló kiutazások'!AD51&gt;0,1*'Tanuló kiutazások'!AD51*VLOOKUP('Tanuló kiutazások'!C51,Segédlet!$C$5:$G$37,4,0),0),0),"")</f>
        <v/>
      </c>
      <c r="Q47" s="15" t="str">
        <f>IF('Tanuló kiutazások'!B51&lt;&gt;"",IF(AND('Tanuló kiutazások'!Z51="Jogosult igényelni",'Tanuló kiutazások'!AD51&gt;0),'Tanuló kiutazások'!AA51,0),"")</f>
        <v/>
      </c>
      <c r="R47" s="15" t="str">
        <f>IF('Tanuló kiutazások'!B51&lt;&gt;"",IF(AND('Tanuló kiutazások'!Z51="Jogosult igényelni",'Tanuló kiutazások'!AD51&gt;0),1,0),"")</f>
        <v/>
      </c>
      <c r="S47" s="15" t="str">
        <f>IF('Tanuló kiutazások'!B51&lt;&gt;"",IF('Tanuló kiutazások'!Z51="Jogosult igényelni",IF(AND('Tanuló kiutazások'!AC51&gt;0,'Tanuló kiutazások'!AF51&gt;0),(1+'Tanuló kiutazások'!AA51-'Tanuló kiutazások'!AC51)*VLOOKUP('Tanuló kiutazások'!P51,$I$5:$J$12,2,0),IF('Tanuló kiutazások'!AD51&gt;0,(1+'Tanuló kiutazások'!AA51)*VLOOKUP('Tanuló kiutazások'!P51,$I$5:$J$12,2,0),0)),0),"")</f>
        <v/>
      </c>
      <c r="T47" s="15" t="str">
        <f t="shared" si="0"/>
        <v/>
      </c>
      <c r="U47" s="15" t="str">
        <f t="shared" si="1"/>
        <v/>
      </c>
      <c r="V47" s="15" t="str">
        <f>IF('Tanuló kiutazások'!AD51&gt;0,'Tanuló kiutazások'!AD51,0)</f>
        <v/>
      </c>
      <c r="W47" s="15" t="str">
        <f t="shared" si="2"/>
        <v/>
      </c>
      <c r="X47" s="23" t="str">
        <f>IF('Tanuló kiutazások'!B51&lt;&gt;"",'Tanuló kiutazások'!G51*'Tanuló kiutazások'!N51,"")</f>
        <v/>
      </c>
      <c r="Y47" s="23" t="str">
        <f>IF('Tanuló kiutazások'!B51&lt;&gt;"",('Tanuló kiutazások'!L51+'Tanuló kiutazások'!M51)*'Tanuló kiutazások'!K51,"")</f>
        <v/>
      </c>
      <c r="Z47" s="15" t="str">
        <f>IF('Munkatárs kiutazások'!B51&lt;&gt;"",'Munkatárs kiutazások'!G51*'Munkatárs kiutazások'!K51,"")</f>
        <v/>
      </c>
      <c r="AA47" s="15" t="str">
        <f>IF('Munkatárs kiutazások'!B51&lt;&gt;"",'Munkatárs kiutazások'!G51*'Munkatárs kiutazások'!J51,"")</f>
        <v/>
      </c>
    </row>
    <row r="48" spans="2:27" x14ac:dyDescent="0.25">
      <c r="N48" s="15" t="str">
        <f>IF(AND('Tanuló kiutazások'!AD52&lt;&gt;"",'Tanuló kiutazások'!AD52&gt;0),'Tanuló kiutazások'!D52,"")</f>
        <v/>
      </c>
      <c r="O48" s="15" t="str">
        <f>IF('Tanuló kiutazások'!B52&lt;&gt;"",IF('Tanuló kiutazások'!Z52="Jogosult igényelni",IF('Tanuló kiutazások'!AD52&gt;0,'Tanuló kiutazások'!AA52*'Tanuló kiutazások'!AD52*VLOOKUP('Tanuló kiutazások'!C52,Segédlet!$C$5:$G$37,4,0),0),0),"")</f>
        <v/>
      </c>
      <c r="P48" s="15" t="str">
        <f>IF('Tanuló kiutazások'!B52&lt;&gt;"",IF('Tanuló kiutazások'!Z52="Jogosult igényelni",IF('Tanuló kiutazások'!AD52&gt;0,1*'Tanuló kiutazások'!AD52*VLOOKUP('Tanuló kiutazások'!C52,Segédlet!$C$5:$G$37,4,0),0),0),"")</f>
        <v/>
      </c>
      <c r="Q48" s="15" t="str">
        <f>IF('Tanuló kiutazások'!B52&lt;&gt;"",IF(AND('Tanuló kiutazások'!Z52="Jogosult igényelni",'Tanuló kiutazások'!AD52&gt;0),'Tanuló kiutazások'!AA52,0),"")</f>
        <v/>
      </c>
      <c r="R48" s="15" t="str">
        <f>IF('Tanuló kiutazások'!B52&lt;&gt;"",IF(AND('Tanuló kiutazások'!Z52="Jogosult igényelni",'Tanuló kiutazások'!AD52&gt;0),1,0),"")</f>
        <v/>
      </c>
      <c r="S48" s="15" t="str">
        <f>IF('Tanuló kiutazások'!B52&lt;&gt;"",IF('Tanuló kiutazások'!Z52="Jogosult igényelni",IF(AND('Tanuló kiutazások'!AC52&gt;0,'Tanuló kiutazások'!AF52&gt;0),(1+'Tanuló kiutazások'!AA52-'Tanuló kiutazások'!AC52)*VLOOKUP('Tanuló kiutazások'!P52,$I$5:$J$12,2,0),IF('Tanuló kiutazások'!AD52&gt;0,(1+'Tanuló kiutazások'!AA52)*VLOOKUP('Tanuló kiutazások'!P52,$I$5:$J$12,2,0),0)),0),"")</f>
        <v/>
      </c>
      <c r="T48" s="15" t="str">
        <f t="shared" si="0"/>
        <v/>
      </c>
      <c r="U48" s="15" t="str">
        <f t="shared" si="1"/>
        <v/>
      </c>
      <c r="V48" s="15" t="str">
        <f>IF('Tanuló kiutazások'!AD52&gt;0,'Tanuló kiutazások'!AD52,0)</f>
        <v/>
      </c>
      <c r="W48" s="15" t="str">
        <f t="shared" si="2"/>
        <v/>
      </c>
      <c r="X48" s="23" t="str">
        <f>IF('Tanuló kiutazások'!B52&lt;&gt;"",'Tanuló kiutazások'!G52*'Tanuló kiutazások'!N52,"")</f>
        <v/>
      </c>
      <c r="Y48" s="23" t="str">
        <f>IF('Tanuló kiutazások'!B52&lt;&gt;"",('Tanuló kiutazások'!L52+'Tanuló kiutazások'!M52)*'Tanuló kiutazások'!K52,"")</f>
        <v/>
      </c>
      <c r="Z48" s="15" t="str">
        <f>IF('Munkatárs kiutazások'!B52&lt;&gt;"",'Munkatárs kiutazások'!G52*'Munkatárs kiutazások'!K52,"")</f>
        <v/>
      </c>
      <c r="AA48" s="15" t="str">
        <f>IF('Munkatárs kiutazások'!B52&lt;&gt;"",'Munkatárs kiutazások'!G52*'Munkatárs kiutazások'!J52,"")</f>
        <v/>
      </c>
    </row>
    <row r="49" spans="14:27" x14ac:dyDescent="0.25">
      <c r="N49" s="15" t="str">
        <f>IF(AND('Tanuló kiutazások'!AD53&lt;&gt;"",'Tanuló kiutazások'!AD53&gt;0),'Tanuló kiutazások'!D53,"")</f>
        <v/>
      </c>
      <c r="O49" s="15" t="str">
        <f>IF('Tanuló kiutazások'!B53&lt;&gt;"",IF('Tanuló kiutazások'!Z53="Jogosult igényelni",IF('Tanuló kiutazások'!AD53&gt;0,'Tanuló kiutazások'!AA53*'Tanuló kiutazások'!AD53*VLOOKUP('Tanuló kiutazások'!C53,Segédlet!$C$5:$G$37,4,0),0),0),"")</f>
        <v/>
      </c>
      <c r="P49" s="15" t="str">
        <f>IF('Tanuló kiutazások'!B53&lt;&gt;"",IF('Tanuló kiutazások'!Z53="Jogosult igényelni",IF('Tanuló kiutazások'!AD53&gt;0,1*'Tanuló kiutazások'!AD53*VLOOKUP('Tanuló kiutazások'!C53,Segédlet!$C$5:$G$37,4,0),0),0),"")</f>
        <v/>
      </c>
      <c r="Q49" s="15" t="str">
        <f>IF('Tanuló kiutazások'!B53&lt;&gt;"",IF(AND('Tanuló kiutazások'!Z53="Jogosult igényelni",'Tanuló kiutazások'!AD53&gt;0),'Tanuló kiutazások'!AA53,0),"")</f>
        <v/>
      </c>
      <c r="R49" s="15" t="str">
        <f>IF('Tanuló kiutazások'!B53&lt;&gt;"",IF(AND('Tanuló kiutazások'!Z53="Jogosult igényelni",'Tanuló kiutazások'!AD53&gt;0),1,0),"")</f>
        <v/>
      </c>
      <c r="S49" s="15" t="str">
        <f>IF('Tanuló kiutazások'!B53&lt;&gt;"",IF('Tanuló kiutazások'!Z53="Jogosult igényelni",IF(AND('Tanuló kiutazások'!AC53&gt;0,'Tanuló kiutazások'!AF53&gt;0),(1+'Tanuló kiutazások'!AA53-'Tanuló kiutazások'!AC53)*VLOOKUP('Tanuló kiutazások'!P53,$I$5:$J$12,2,0),IF('Tanuló kiutazások'!AD53&gt;0,(1+'Tanuló kiutazások'!AA53)*VLOOKUP('Tanuló kiutazások'!P53,$I$5:$J$12,2,0),0)),0),"")</f>
        <v/>
      </c>
      <c r="T49" s="15" t="str">
        <f t="shared" si="0"/>
        <v/>
      </c>
      <c r="U49" s="15" t="str">
        <f t="shared" si="1"/>
        <v/>
      </c>
      <c r="V49" s="15" t="str">
        <f>IF('Tanuló kiutazások'!AD53&gt;0,'Tanuló kiutazások'!AD53,0)</f>
        <v/>
      </c>
      <c r="W49" s="15" t="str">
        <f t="shared" si="2"/>
        <v/>
      </c>
      <c r="X49" s="23" t="str">
        <f>IF('Tanuló kiutazások'!B53&lt;&gt;"",'Tanuló kiutazások'!G53*'Tanuló kiutazások'!N53,"")</f>
        <v/>
      </c>
      <c r="Y49" s="23" t="str">
        <f>IF('Tanuló kiutazások'!B53&lt;&gt;"",('Tanuló kiutazások'!L53+'Tanuló kiutazások'!M53)*'Tanuló kiutazások'!K53,"")</f>
        <v/>
      </c>
      <c r="Z49" s="15" t="str">
        <f>IF('Munkatárs kiutazások'!B53&lt;&gt;"",'Munkatárs kiutazások'!G53*'Munkatárs kiutazások'!K53,"")</f>
        <v/>
      </c>
      <c r="AA49" s="15" t="str">
        <f>IF('Munkatárs kiutazások'!B53&lt;&gt;"",'Munkatárs kiutazások'!G53*'Munkatárs kiutazások'!J53,"")</f>
        <v/>
      </c>
    </row>
    <row r="50" spans="14:27" x14ac:dyDescent="0.25">
      <c r="N50" s="15" t="str">
        <f>IF(AND('Tanuló kiutazások'!AD54&lt;&gt;"",'Tanuló kiutazások'!AD54&gt;0),'Tanuló kiutazások'!D54,"")</f>
        <v/>
      </c>
      <c r="O50" s="15" t="str">
        <f>IF('Tanuló kiutazások'!B54&lt;&gt;"",IF('Tanuló kiutazások'!Z54="Jogosult igényelni",IF('Tanuló kiutazások'!AD54&gt;0,'Tanuló kiutazások'!AA54*'Tanuló kiutazások'!AD54*VLOOKUP('Tanuló kiutazások'!C54,Segédlet!$C$5:$G$37,4,0),0),0),"")</f>
        <v/>
      </c>
      <c r="P50" s="15" t="str">
        <f>IF('Tanuló kiutazások'!B54&lt;&gt;"",IF('Tanuló kiutazások'!Z54="Jogosult igényelni",IF('Tanuló kiutazások'!AD54&gt;0,1*'Tanuló kiutazások'!AD54*VLOOKUP('Tanuló kiutazások'!C54,Segédlet!$C$5:$G$37,4,0),0),0),"")</f>
        <v/>
      </c>
      <c r="Q50" s="15" t="str">
        <f>IF('Tanuló kiutazások'!B54&lt;&gt;"",IF(AND('Tanuló kiutazások'!Z54="Jogosult igényelni",'Tanuló kiutazások'!AD54&gt;0),'Tanuló kiutazások'!AA54,0),"")</f>
        <v/>
      </c>
      <c r="R50" s="15" t="str">
        <f>IF('Tanuló kiutazások'!B54&lt;&gt;"",IF(AND('Tanuló kiutazások'!Z54="Jogosult igényelni",'Tanuló kiutazások'!AD54&gt;0),1,0),"")</f>
        <v/>
      </c>
      <c r="S50" s="15" t="str">
        <f>IF('Tanuló kiutazások'!B54&lt;&gt;"",IF('Tanuló kiutazások'!Z54="Jogosult igényelni",IF(AND('Tanuló kiutazások'!AC54&gt;0,'Tanuló kiutazások'!AF54&gt;0),(1+'Tanuló kiutazások'!AA54-'Tanuló kiutazások'!AC54)*VLOOKUP('Tanuló kiutazások'!P54,$I$5:$J$12,2,0),IF('Tanuló kiutazások'!AD54&gt;0,(1+'Tanuló kiutazások'!AA54)*VLOOKUP('Tanuló kiutazások'!P54,$I$5:$J$12,2,0),0)),0),"")</f>
        <v/>
      </c>
      <c r="T50" s="15" t="str">
        <f t="shared" si="0"/>
        <v/>
      </c>
      <c r="U50" s="15" t="str">
        <f t="shared" si="1"/>
        <v/>
      </c>
      <c r="V50" s="15" t="str">
        <f>IF('Tanuló kiutazások'!AD54&gt;0,'Tanuló kiutazások'!AD54,0)</f>
        <v/>
      </c>
      <c r="W50" s="15" t="str">
        <f t="shared" si="2"/>
        <v/>
      </c>
      <c r="X50" s="23" t="str">
        <f>IF('Tanuló kiutazások'!B54&lt;&gt;"",'Tanuló kiutazások'!G54*'Tanuló kiutazások'!N54,"")</f>
        <v/>
      </c>
      <c r="Y50" s="23" t="str">
        <f>IF('Tanuló kiutazások'!B54&lt;&gt;"",('Tanuló kiutazások'!L54+'Tanuló kiutazások'!M54)*'Tanuló kiutazások'!K54,"")</f>
        <v/>
      </c>
      <c r="Z50" s="15" t="str">
        <f>IF('Munkatárs kiutazások'!B54&lt;&gt;"",'Munkatárs kiutazások'!G54*'Munkatárs kiutazások'!K54,"")</f>
        <v/>
      </c>
      <c r="AA50" s="15" t="str">
        <f>IF('Munkatárs kiutazások'!B54&lt;&gt;"",'Munkatárs kiutazások'!G54*'Munkatárs kiutazások'!J54,"")</f>
        <v/>
      </c>
    </row>
    <row r="51" spans="14:27" x14ac:dyDescent="0.25">
      <c r="N51" s="15" t="str">
        <f>IF(AND('Tanuló kiutazások'!AD55&lt;&gt;"",'Tanuló kiutazások'!AD55&gt;0),'Tanuló kiutazások'!D55,"")</f>
        <v/>
      </c>
      <c r="O51" s="15" t="str">
        <f>IF('Tanuló kiutazások'!B55&lt;&gt;"",IF('Tanuló kiutazások'!Z55="Jogosult igényelni",IF('Tanuló kiutazások'!AD55&gt;0,'Tanuló kiutazások'!AA55*'Tanuló kiutazások'!AD55*VLOOKUP('Tanuló kiutazások'!C55,Segédlet!$C$5:$G$37,4,0),0),0),"")</f>
        <v/>
      </c>
      <c r="P51" s="15" t="str">
        <f>IF('Tanuló kiutazások'!B55&lt;&gt;"",IF('Tanuló kiutazások'!Z55="Jogosult igényelni",IF('Tanuló kiutazások'!AD55&gt;0,1*'Tanuló kiutazások'!AD55*VLOOKUP('Tanuló kiutazások'!C55,Segédlet!$C$5:$G$37,4,0),0),0),"")</f>
        <v/>
      </c>
      <c r="Q51" s="15" t="str">
        <f>IF('Tanuló kiutazások'!B55&lt;&gt;"",IF(AND('Tanuló kiutazások'!Z55="Jogosult igényelni",'Tanuló kiutazások'!AD55&gt;0),'Tanuló kiutazások'!AA55,0),"")</f>
        <v/>
      </c>
      <c r="R51" s="15" t="str">
        <f>IF('Tanuló kiutazások'!B55&lt;&gt;"",IF(AND('Tanuló kiutazások'!Z55="Jogosult igényelni",'Tanuló kiutazások'!AD55&gt;0),1,0),"")</f>
        <v/>
      </c>
      <c r="S51" s="15" t="str">
        <f>IF('Tanuló kiutazások'!B55&lt;&gt;"",IF('Tanuló kiutazások'!Z55="Jogosult igényelni",IF(AND('Tanuló kiutazások'!AC55&gt;0,'Tanuló kiutazások'!AF55&gt;0),(1+'Tanuló kiutazások'!AA55-'Tanuló kiutazások'!AC55)*VLOOKUP('Tanuló kiutazások'!P55,$I$5:$J$12,2,0),IF('Tanuló kiutazások'!AD55&gt;0,(1+'Tanuló kiutazások'!AA55)*VLOOKUP('Tanuló kiutazások'!P55,$I$5:$J$12,2,0),0)),0),"")</f>
        <v/>
      </c>
      <c r="T51" s="15" t="str">
        <f t="shared" si="0"/>
        <v/>
      </c>
      <c r="U51" s="15" t="str">
        <f t="shared" si="1"/>
        <v/>
      </c>
      <c r="V51" s="15" t="str">
        <f>IF('Tanuló kiutazások'!AD55&gt;0,'Tanuló kiutazások'!AD55,0)</f>
        <v/>
      </c>
      <c r="W51" s="15" t="str">
        <f t="shared" si="2"/>
        <v/>
      </c>
      <c r="X51" s="23" t="str">
        <f>IF('Tanuló kiutazások'!B55&lt;&gt;"",'Tanuló kiutazások'!G55*'Tanuló kiutazások'!N55,"")</f>
        <v/>
      </c>
      <c r="Y51" s="23" t="str">
        <f>IF('Tanuló kiutazások'!B55&lt;&gt;"",('Tanuló kiutazások'!L55+'Tanuló kiutazások'!M55)*'Tanuló kiutazások'!K55,"")</f>
        <v/>
      </c>
      <c r="Z51" s="15" t="str">
        <f>IF('Munkatárs kiutazások'!B55&lt;&gt;"",'Munkatárs kiutazások'!G55*'Munkatárs kiutazások'!K55,"")</f>
        <v/>
      </c>
      <c r="AA51" s="15" t="str">
        <f>IF('Munkatárs kiutazások'!B55&lt;&gt;"",'Munkatárs kiutazások'!G55*'Munkatárs kiutazások'!J55,"")</f>
        <v/>
      </c>
    </row>
    <row r="52" spans="14:27" x14ac:dyDescent="0.25">
      <c r="N52" s="15" t="str">
        <f>IF(AND('Tanuló kiutazások'!AD56&lt;&gt;"",'Tanuló kiutazások'!AD56&gt;0),'Tanuló kiutazások'!D56,"")</f>
        <v/>
      </c>
      <c r="O52" s="15" t="str">
        <f>IF('Tanuló kiutazások'!B56&lt;&gt;"",IF('Tanuló kiutazások'!Z56="Jogosult igényelni",IF('Tanuló kiutazások'!AD56&gt;0,'Tanuló kiutazások'!AA56*'Tanuló kiutazások'!AD56*VLOOKUP('Tanuló kiutazások'!C56,Segédlet!$C$5:$G$37,4,0),0),0),"")</f>
        <v/>
      </c>
      <c r="P52" s="15" t="str">
        <f>IF('Tanuló kiutazások'!B56&lt;&gt;"",IF('Tanuló kiutazások'!Z56="Jogosult igényelni",IF('Tanuló kiutazások'!AD56&gt;0,1*'Tanuló kiutazások'!AD56*VLOOKUP('Tanuló kiutazások'!C56,Segédlet!$C$5:$G$37,4,0),0),0),"")</f>
        <v/>
      </c>
      <c r="Q52" s="15" t="str">
        <f>IF('Tanuló kiutazások'!B56&lt;&gt;"",IF(AND('Tanuló kiutazások'!Z56="Jogosult igényelni",'Tanuló kiutazások'!AD56&gt;0),'Tanuló kiutazások'!AA56,0),"")</f>
        <v/>
      </c>
      <c r="R52" s="15" t="str">
        <f>IF('Tanuló kiutazások'!B56&lt;&gt;"",IF(AND('Tanuló kiutazások'!Z56="Jogosult igényelni",'Tanuló kiutazások'!AD56&gt;0),1,0),"")</f>
        <v/>
      </c>
      <c r="S52" s="15" t="str">
        <f>IF('Tanuló kiutazások'!B56&lt;&gt;"",IF('Tanuló kiutazások'!Z56="Jogosult igényelni",IF(AND('Tanuló kiutazások'!AC56&gt;0,'Tanuló kiutazások'!AF56&gt;0),(1+'Tanuló kiutazások'!AA56-'Tanuló kiutazások'!AC56)*VLOOKUP('Tanuló kiutazások'!P56,$I$5:$J$12,2,0),IF('Tanuló kiutazások'!AD56&gt;0,(1+'Tanuló kiutazások'!AA56)*VLOOKUP('Tanuló kiutazások'!P56,$I$5:$J$12,2,0),0)),0),"")</f>
        <v/>
      </c>
      <c r="T52" s="15" t="str">
        <f t="shared" si="0"/>
        <v/>
      </c>
      <c r="U52" s="15" t="str">
        <f t="shared" si="1"/>
        <v/>
      </c>
      <c r="V52" s="15" t="str">
        <f>IF('Tanuló kiutazások'!AD56&gt;0,'Tanuló kiutazások'!AD56,0)</f>
        <v/>
      </c>
      <c r="W52" s="15" t="str">
        <f t="shared" si="2"/>
        <v/>
      </c>
      <c r="X52" s="23" t="str">
        <f>IF('Tanuló kiutazások'!B56&lt;&gt;"",'Tanuló kiutazások'!G56*'Tanuló kiutazások'!N56,"")</f>
        <v/>
      </c>
      <c r="Y52" s="23" t="str">
        <f>IF('Tanuló kiutazások'!B56&lt;&gt;"",('Tanuló kiutazások'!L56+'Tanuló kiutazások'!M56)*'Tanuló kiutazások'!K56,"")</f>
        <v/>
      </c>
      <c r="Z52" s="15" t="str">
        <f>IF('Munkatárs kiutazások'!B56&lt;&gt;"",'Munkatárs kiutazások'!G56*'Munkatárs kiutazások'!K56,"")</f>
        <v/>
      </c>
      <c r="AA52" s="15" t="str">
        <f>IF('Munkatárs kiutazások'!B56&lt;&gt;"",'Munkatárs kiutazások'!G56*'Munkatárs kiutazások'!J56,"")</f>
        <v/>
      </c>
    </row>
    <row r="53" spans="14:27" x14ac:dyDescent="0.25">
      <c r="N53" s="15" t="str">
        <f>IF(AND('Tanuló kiutazások'!AD57&lt;&gt;"",'Tanuló kiutazások'!AD57&gt;0),'Tanuló kiutazások'!D57,"")</f>
        <v/>
      </c>
      <c r="O53" s="15" t="str">
        <f>IF('Tanuló kiutazások'!B57&lt;&gt;"",IF('Tanuló kiutazások'!Z57="Jogosult igényelni",IF('Tanuló kiutazások'!AD57&gt;0,'Tanuló kiutazások'!AA57*'Tanuló kiutazások'!AD57*VLOOKUP('Tanuló kiutazások'!C57,Segédlet!$C$5:$G$37,4,0),0),0),"")</f>
        <v/>
      </c>
      <c r="P53" s="15" t="str">
        <f>IF('Tanuló kiutazások'!B57&lt;&gt;"",IF('Tanuló kiutazások'!Z57="Jogosult igényelni",IF('Tanuló kiutazások'!AD57&gt;0,1*'Tanuló kiutazások'!AD57*VLOOKUP('Tanuló kiutazások'!C57,Segédlet!$C$5:$G$37,4,0),0),0),"")</f>
        <v/>
      </c>
      <c r="Q53" s="15" t="str">
        <f>IF('Tanuló kiutazások'!B57&lt;&gt;"",IF(AND('Tanuló kiutazások'!Z57="Jogosult igényelni",'Tanuló kiutazások'!AD57&gt;0),'Tanuló kiutazások'!AA57,0),"")</f>
        <v/>
      </c>
      <c r="R53" s="15" t="str">
        <f>IF('Tanuló kiutazások'!B57&lt;&gt;"",IF(AND('Tanuló kiutazások'!Z57="Jogosult igényelni",'Tanuló kiutazások'!AD57&gt;0),1,0),"")</f>
        <v/>
      </c>
      <c r="S53" s="15" t="str">
        <f>IF('Tanuló kiutazások'!B57&lt;&gt;"",IF('Tanuló kiutazások'!Z57="Jogosult igényelni",IF(AND('Tanuló kiutazások'!AC57&gt;0,'Tanuló kiutazások'!AF57&gt;0),(1+'Tanuló kiutazások'!AA57-'Tanuló kiutazások'!AC57)*VLOOKUP('Tanuló kiutazások'!P57,$I$5:$J$12,2,0),IF('Tanuló kiutazások'!AD57&gt;0,(1+'Tanuló kiutazások'!AA57)*VLOOKUP('Tanuló kiutazások'!P57,$I$5:$J$12,2,0),0)),0),"")</f>
        <v/>
      </c>
      <c r="T53" s="15" t="str">
        <f t="shared" si="0"/>
        <v/>
      </c>
      <c r="U53" s="15" t="str">
        <f t="shared" si="1"/>
        <v/>
      </c>
      <c r="V53" s="15" t="str">
        <f>IF('Tanuló kiutazások'!AD57&gt;0,'Tanuló kiutazások'!AD57,0)</f>
        <v/>
      </c>
      <c r="W53" s="15" t="str">
        <f t="shared" si="2"/>
        <v/>
      </c>
      <c r="X53" s="23" t="str">
        <f>IF('Tanuló kiutazások'!B57&lt;&gt;"",'Tanuló kiutazások'!G57*'Tanuló kiutazások'!N57,"")</f>
        <v/>
      </c>
      <c r="Y53" s="23" t="str">
        <f>IF('Tanuló kiutazások'!B57&lt;&gt;"",('Tanuló kiutazások'!L57+'Tanuló kiutazások'!M57)*'Tanuló kiutazások'!K57,"")</f>
        <v/>
      </c>
      <c r="Z53" s="15" t="str">
        <f>IF('Munkatárs kiutazások'!B57&lt;&gt;"",'Munkatárs kiutazások'!G57*'Munkatárs kiutazások'!K57,"")</f>
        <v/>
      </c>
      <c r="AA53" s="15" t="str">
        <f>IF('Munkatárs kiutazások'!B57&lt;&gt;"",'Munkatárs kiutazások'!G57*'Munkatárs kiutazások'!J57,"")</f>
        <v/>
      </c>
    </row>
    <row r="54" spans="14:27" x14ac:dyDescent="0.25">
      <c r="N54" s="15" t="str">
        <f>IF(AND('Tanuló kiutazások'!AD58&lt;&gt;"",'Tanuló kiutazások'!AD58&gt;0),'Tanuló kiutazások'!D58,"")</f>
        <v/>
      </c>
      <c r="O54" s="15" t="str">
        <f>IF('Tanuló kiutazások'!B58&lt;&gt;"",IF('Tanuló kiutazások'!Z58="Jogosult igényelni",IF('Tanuló kiutazások'!AD58&gt;0,'Tanuló kiutazások'!AA58*'Tanuló kiutazások'!AD58*VLOOKUP('Tanuló kiutazások'!C58,Segédlet!$C$5:$G$37,4,0),0),0),"")</f>
        <v/>
      </c>
      <c r="P54" s="15" t="str">
        <f>IF('Tanuló kiutazások'!B58&lt;&gt;"",IF('Tanuló kiutazások'!Z58="Jogosult igényelni",IF('Tanuló kiutazások'!AD58&gt;0,1*'Tanuló kiutazások'!AD58*VLOOKUP('Tanuló kiutazások'!C58,Segédlet!$C$5:$G$37,4,0),0),0),"")</f>
        <v/>
      </c>
      <c r="Q54" s="15" t="str">
        <f>IF('Tanuló kiutazások'!B58&lt;&gt;"",IF(AND('Tanuló kiutazások'!Z58="Jogosult igényelni",'Tanuló kiutazások'!AD58&gt;0),'Tanuló kiutazások'!AA58,0),"")</f>
        <v/>
      </c>
      <c r="R54" s="15" t="str">
        <f>IF('Tanuló kiutazások'!B58&lt;&gt;"",IF(AND('Tanuló kiutazások'!Z58="Jogosult igényelni",'Tanuló kiutazások'!AD58&gt;0),1,0),"")</f>
        <v/>
      </c>
      <c r="S54" s="15" t="str">
        <f>IF('Tanuló kiutazások'!B58&lt;&gt;"",IF('Tanuló kiutazások'!Z58="Jogosult igényelni",IF(AND('Tanuló kiutazások'!AC58&gt;0,'Tanuló kiutazások'!AF58&gt;0),(1+'Tanuló kiutazások'!AA58-'Tanuló kiutazások'!AC58)*VLOOKUP('Tanuló kiutazások'!P58,$I$5:$J$12,2,0),IF('Tanuló kiutazások'!AD58&gt;0,(1+'Tanuló kiutazások'!AA58)*VLOOKUP('Tanuló kiutazások'!P58,$I$5:$J$12,2,0),0)),0),"")</f>
        <v/>
      </c>
      <c r="T54" s="15" t="str">
        <f t="shared" si="0"/>
        <v/>
      </c>
      <c r="U54" s="15" t="str">
        <f t="shared" si="1"/>
        <v/>
      </c>
      <c r="V54" s="15" t="str">
        <f>IF('Tanuló kiutazások'!AD58&gt;0,'Tanuló kiutazások'!AD58,0)</f>
        <v/>
      </c>
      <c r="W54" s="15" t="str">
        <f t="shared" si="2"/>
        <v/>
      </c>
      <c r="X54" s="23" t="str">
        <f>IF('Tanuló kiutazások'!B58&lt;&gt;"",'Tanuló kiutazások'!G58*'Tanuló kiutazások'!N58,"")</f>
        <v/>
      </c>
      <c r="Y54" s="23" t="str">
        <f>IF('Tanuló kiutazások'!B58&lt;&gt;"",('Tanuló kiutazások'!L58+'Tanuló kiutazások'!M58)*'Tanuló kiutazások'!K58,"")</f>
        <v/>
      </c>
      <c r="Z54" s="15" t="str">
        <f>IF('Munkatárs kiutazások'!B58&lt;&gt;"",'Munkatárs kiutazások'!G58*'Munkatárs kiutazások'!K58,"")</f>
        <v/>
      </c>
      <c r="AA54" s="15" t="str">
        <f>IF('Munkatárs kiutazások'!B58&lt;&gt;"",'Munkatárs kiutazások'!G58*'Munkatárs kiutazások'!J58,"")</f>
        <v/>
      </c>
    </row>
    <row r="55" spans="14:27" x14ac:dyDescent="0.25">
      <c r="N55" s="15" t="str">
        <f>IF(AND('Tanuló kiutazások'!AD59&lt;&gt;"",'Tanuló kiutazások'!AD59&gt;0),'Tanuló kiutazások'!D59,"")</f>
        <v/>
      </c>
      <c r="O55" s="15" t="str">
        <f>IF('Tanuló kiutazások'!B59&lt;&gt;"",IF('Tanuló kiutazások'!Z59="Jogosult igényelni",IF('Tanuló kiutazások'!AD59&gt;0,'Tanuló kiutazások'!AA59*'Tanuló kiutazások'!AD59*VLOOKUP('Tanuló kiutazások'!C59,Segédlet!$C$5:$G$37,4,0),0),0),"")</f>
        <v/>
      </c>
      <c r="P55" s="15" t="str">
        <f>IF('Tanuló kiutazások'!B59&lt;&gt;"",IF('Tanuló kiutazások'!Z59="Jogosult igényelni",IF('Tanuló kiutazások'!AD59&gt;0,1*'Tanuló kiutazások'!AD59*VLOOKUP('Tanuló kiutazások'!C59,Segédlet!$C$5:$G$37,4,0),0),0),"")</f>
        <v/>
      </c>
      <c r="Q55" s="15" t="str">
        <f>IF('Tanuló kiutazások'!B59&lt;&gt;"",IF(AND('Tanuló kiutazások'!Z59="Jogosult igényelni",'Tanuló kiutazások'!AD59&gt;0),'Tanuló kiutazások'!AA59,0),"")</f>
        <v/>
      </c>
      <c r="R55" s="15" t="str">
        <f>IF('Tanuló kiutazások'!B59&lt;&gt;"",IF(AND('Tanuló kiutazások'!Z59="Jogosult igényelni",'Tanuló kiutazások'!AD59&gt;0),1,0),"")</f>
        <v/>
      </c>
      <c r="S55" s="15" t="str">
        <f>IF('Tanuló kiutazások'!B59&lt;&gt;"",IF('Tanuló kiutazások'!Z59="Jogosult igényelni",IF(AND('Tanuló kiutazások'!AC59&gt;0,'Tanuló kiutazások'!AF59&gt;0),(1+'Tanuló kiutazások'!AA59-'Tanuló kiutazások'!AC59)*VLOOKUP('Tanuló kiutazások'!P59,$I$5:$J$12,2,0),IF('Tanuló kiutazások'!AD59&gt;0,(1+'Tanuló kiutazások'!AA59)*VLOOKUP('Tanuló kiutazások'!P59,$I$5:$J$12,2,0),0)),0),"")</f>
        <v/>
      </c>
      <c r="T55" s="15" t="str">
        <f t="shared" si="0"/>
        <v/>
      </c>
      <c r="U55" s="15" t="str">
        <f t="shared" si="1"/>
        <v/>
      </c>
      <c r="V55" s="15" t="str">
        <f>IF('Tanuló kiutazások'!AD59&gt;0,'Tanuló kiutazások'!AD59,0)</f>
        <v/>
      </c>
      <c r="W55" s="15" t="str">
        <f t="shared" si="2"/>
        <v/>
      </c>
      <c r="X55" s="23" t="str">
        <f>IF('Tanuló kiutazások'!B59&lt;&gt;"",'Tanuló kiutazások'!G59*'Tanuló kiutazások'!N59,"")</f>
        <v/>
      </c>
      <c r="Y55" s="23" t="str">
        <f>IF('Tanuló kiutazások'!B59&lt;&gt;"",('Tanuló kiutazások'!L59+'Tanuló kiutazások'!M59)*'Tanuló kiutazások'!K59,"")</f>
        <v/>
      </c>
      <c r="Z55" s="15" t="str">
        <f>IF('Munkatárs kiutazások'!B59&lt;&gt;"",'Munkatárs kiutazások'!G59*'Munkatárs kiutazások'!K59,"")</f>
        <v/>
      </c>
      <c r="AA55" s="15" t="str">
        <f>IF('Munkatárs kiutazások'!B59&lt;&gt;"",'Munkatárs kiutazások'!G59*'Munkatárs kiutazások'!J59,"")</f>
        <v/>
      </c>
    </row>
    <row r="56" spans="14:27" x14ac:dyDescent="0.25">
      <c r="N56" s="15" t="str">
        <f>IF(AND('Tanuló kiutazások'!AD60&lt;&gt;"",'Tanuló kiutazások'!AD60&gt;0),'Tanuló kiutazások'!D60,"")</f>
        <v/>
      </c>
      <c r="O56" s="15" t="str">
        <f>IF('Tanuló kiutazások'!B60&lt;&gt;"",IF('Tanuló kiutazások'!Z60="Jogosult igényelni",IF('Tanuló kiutazások'!AD60&gt;0,'Tanuló kiutazások'!AA60*'Tanuló kiutazások'!AD60*VLOOKUP('Tanuló kiutazások'!C60,Segédlet!$C$5:$G$37,4,0),0),0),"")</f>
        <v/>
      </c>
      <c r="P56" s="15" t="str">
        <f>IF('Tanuló kiutazások'!B60&lt;&gt;"",IF('Tanuló kiutazások'!Z60="Jogosult igényelni",IF('Tanuló kiutazások'!AD60&gt;0,1*'Tanuló kiutazások'!AD60*VLOOKUP('Tanuló kiutazások'!C60,Segédlet!$C$5:$G$37,4,0),0),0),"")</f>
        <v/>
      </c>
      <c r="Q56" s="15" t="str">
        <f>IF('Tanuló kiutazások'!B60&lt;&gt;"",IF(AND('Tanuló kiutazások'!Z60="Jogosult igényelni",'Tanuló kiutazások'!AD60&gt;0),'Tanuló kiutazások'!AA60,0),"")</f>
        <v/>
      </c>
      <c r="R56" s="15" t="str">
        <f>IF('Tanuló kiutazások'!B60&lt;&gt;"",IF(AND('Tanuló kiutazások'!Z60="Jogosult igényelni",'Tanuló kiutazások'!AD60&gt;0),1,0),"")</f>
        <v/>
      </c>
      <c r="S56" s="15" t="str">
        <f>IF('Tanuló kiutazások'!B60&lt;&gt;"",IF('Tanuló kiutazások'!Z60="Jogosult igényelni",IF(AND('Tanuló kiutazások'!AC60&gt;0,'Tanuló kiutazások'!AF60&gt;0),(1+'Tanuló kiutazások'!AA60-'Tanuló kiutazások'!AC60)*VLOOKUP('Tanuló kiutazások'!P60,$I$5:$J$12,2,0),IF('Tanuló kiutazások'!AD60&gt;0,(1+'Tanuló kiutazások'!AA60)*VLOOKUP('Tanuló kiutazások'!P60,$I$5:$J$12,2,0),0)),0),"")</f>
        <v/>
      </c>
      <c r="T56" s="15" t="str">
        <f t="shared" si="0"/>
        <v/>
      </c>
      <c r="U56" s="15" t="str">
        <f t="shared" si="1"/>
        <v/>
      </c>
      <c r="V56" s="15" t="str">
        <f>IF('Tanuló kiutazások'!AD60&gt;0,'Tanuló kiutazások'!AD60,0)</f>
        <v/>
      </c>
      <c r="W56" s="15" t="str">
        <f t="shared" si="2"/>
        <v/>
      </c>
      <c r="X56" s="23" t="str">
        <f>IF('Tanuló kiutazások'!B60&lt;&gt;"",'Tanuló kiutazások'!G60*'Tanuló kiutazások'!N60,"")</f>
        <v/>
      </c>
      <c r="Y56" s="23" t="str">
        <f>IF('Tanuló kiutazások'!B60&lt;&gt;"",('Tanuló kiutazások'!L60+'Tanuló kiutazások'!M60)*'Tanuló kiutazások'!K60,"")</f>
        <v/>
      </c>
      <c r="Z56" s="15" t="str">
        <f>IF('Munkatárs kiutazások'!B60&lt;&gt;"",'Munkatárs kiutazások'!G60*'Munkatárs kiutazások'!K60,"")</f>
        <v/>
      </c>
      <c r="AA56" s="15" t="str">
        <f>IF('Munkatárs kiutazások'!B60&lt;&gt;"",'Munkatárs kiutazások'!G60*'Munkatárs kiutazások'!J60,"")</f>
        <v/>
      </c>
    </row>
    <row r="57" spans="14:27" x14ac:dyDescent="0.25">
      <c r="N57" s="15" t="str">
        <f>IF(AND('Tanuló kiutazások'!AD61&lt;&gt;"",'Tanuló kiutazások'!AD61&gt;0),'Tanuló kiutazások'!D61,"")</f>
        <v/>
      </c>
      <c r="O57" s="15" t="str">
        <f>IF('Tanuló kiutazások'!B61&lt;&gt;"",IF('Tanuló kiutazások'!Z61="Jogosult igényelni",IF('Tanuló kiutazások'!AD61&gt;0,'Tanuló kiutazások'!AA61*'Tanuló kiutazások'!AD61*VLOOKUP('Tanuló kiutazások'!C61,Segédlet!$C$5:$G$37,4,0),0),0),"")</f>
        <v/>
      </c>
      <c r="P57" s="15" t="str">
        <f>IF('Tanuló kiutazások'!B61&lt;&gt;"",IF('Tanuló kiutazások'!Z61="Jogosult igényelni",IF('Tanuló kiutazások'!AD61&gt;0,1*'Tanuló kiutazások'!AD61*VLOOKUP('Tanuló kiutazások'!C61,Segédlet!$C$5:$G$37,4,0),0),0),"")</f>
        <v/>
      </c>
      <c r="Q57" s="15" t="str">
        <f>IF('Tanuló kiutazások'!B61&lt;&gt;"",IF(AND('Tanuló kiutazások'!Z61="Jogosult igényelni",'Tanuló kiutazások'!AD61&gt;0),'Tanuló kiutazások'!AA61,0),"")</f>
        <v/>
      </c>
      <c r="R57" s="15" t="str">
        <f>IF('Tanuló kiutazások'!B61&lt;&gt;"",IF(AND('Tanuló kiutazások'!Z61="Jogosult igényelni",'Tanuló kiutazások'!AD61&gt;0),1,0),"")</f>
        <v/>
      </c>
      <c r="S57" s="15" t="str">
        <f>IF('Tanuló kiutazások'!B61&lt;&gt;"",IF('Tanuló kiutazások'!Z61="Jogosult igényelni",IF(AND('Tanuló kiutazások'!AC61&gt;0,'Tanuló kiutazások'!AF61&gt;0),(1+'Tanuló kiutazások'!AA61-'Tanuló kiutazások'!AC61)*VLOOKUP('Tanuló kiutazások'!P61,$I$5:$J$12,2,0),IF('Tanuló kiutazások'!AD61&gt;0,(1+'Tanuló kiutazások'!AA61)*VLOOKUP('Tanuló kiutazások'!P61,$I$5:$J$12,2,0),0)),0),"")</f>
        <v/>
      </c>
      <c r="T57" s="15" t="str">
        <f t="shared" si="0"/>
        <v/>
      </c>
      <c r="U57" s="15" t="str">
        <f t="shared" si="1"/>
        <v/>
      </c>
      <c r="V57" s="15" t="str">
        <f>IF('Tanuló kiutazások'!AD61&gt;0,'Tanuló kiutazások'!AD61,0)</f>
        <v/>
      </c>
      <c r="W57" s="15" t="str">
        <f t="shared" si="2"/>
        <v/>
      </c>
      <c r="X57" s="23" t="str">
        <f>IF('Tanuló kiutazások'!B61&lt;&gt;"",'Tanuló kiutazások'!G61*'Tanuló kiutazások'!N61,"")</f>
        <v/>
      </c>
      <c r="Y57" s="23" t="str">
        <f>IF('Tanuló kiutazások'!B61&lt;&gt;"",('Tanuló kiutazások'!L61+'Tanuló kiutazások'!M61)*'Tanuló kiutazások'!K61,"")</f>
        <v/>
      </c>
      <c r="Z57" s="15" t="str">
        <f>IF('Munkatárs kiutazások'!B61&lt;&gt;"",'Munkatárs kiutazások'!G61*'Munkatárs kiutazások'!K61,"")</f>
        <v/>
      </c>
      <c r="AA57" s="15" t="str">
        <f>IF('Munkatárs kiutazások'!B61&lt;&gt;"",'Munkatárs kiutazások'!G61*'Munkatárs kiutazások'!J61,"")</f>
        <v/>
      </c>
    </row>
    <row r="58" spans="14:27" x14ac:dyDescent="0.25">
      <c r="N58" s="15" t="str">
        <f>IF(AND('Tanuló kiutazások'!AD62&lt;&gt;"",'Tanuló kiutazások'!AD62&gt;0),'Tanuló kiutazások'!D62,"")</f>
        <v/>
      </c>
      <c r="O58" s="15" t="str">
        <f>IF('Tanuló kiutazások'!B62&lt;&gt;"",IF('Tanuló kiutazások'!Z62="Jogosult igényelni",IF('Tanuló kiutazások'!AD62&gt;0,'Tanuló kiutazások'!AA62*'Tanuló kiutazások'!AD62*VLOOKUP('Tanuló kiutazások'!C62,Segédlet!$C$5:$G$37,4,0),0),0),"")</f>
        <v/>
      </c>
      <c r="P58" s="15" t="str">
        <f>IF('Tanuló kiutazások'!B62&lt;&gt;"",IF('Tanuló kiutazások'!Z62="Jogosult igényelni",IF('Tanuló kiutazások'!AD62&gt;0,1*'Tanuló kiutazások'!AD62*VLOOKUP('Tanuló kiutazások'!C62,Segédlet!$C$5:$G$37,4,0),0),0),"")</f>
        <v/>
      </c>
      <c r="Q58" s="15" t="str">
        <f>IF('Tanuló kiutazások'!B62&lt;&gt;"",IF(AND('Tanuló kiutazások'!Z62="Jogosult igényelni",'Tanuló kiutazások'!AD62&gt;0),'Tanuló kiutazások'!AA62,0),"")</f>
        <v/>
      </c>
      <c r="R58" s="15" t="str">
        <f>IF('Tanuló kiutazások'!B62&lt;&gt;"",IF(AND('Tanuló kiutazások'!Z62="Jogosult igényelni",'Tanuló kiutazások'!AD62&gt;0),1,0),"")</f>
        <v/>
      </c>
      <c r="S58" s="15" t="str">
        <f>IF('Tanuló kiutazások'!B62&lt;&gt;"",IF('Tanuló kiutazások'!Z62="Jogosult igényelni",IF(AND('Tanuló kiutazások'!AC62&gt;0,'Tanuló kiutazások'!AF62&gt;0),(1+'Tanuló kiutazások'!AA62-'Tanuló kiutazások'!AC62)*VLOOKUP('Tanuló kiutazások'!P62,$I$5:$J$12,2,0),IF('Tanuló kiutazások'!AD62&gt;0,(1+'Tanuló kiutazások'!AA62)*VLOOKUP('Tanuló kiutazások'!P62,$I$5:$J$12,2,0),0)),0),"")</f>
        <v/>
      </c>
      <c r="T58" s="15" t="str">
        <f t="shared" si="0"/>
        <v/>
      </c>
      <c r="U58" s="15" t="str">
        <f t="shared" si="1"/>
        <v/>
      </c>
      <c r="V58" s="15" t="str">
        <f>IF('Tanuló kiutazások'!AD62&gt;0,'Tanuló kiutazások'!AD62,0)</f>
        <v/>
      </c>
      <c r="W58" s="15" t="str">
        <f t="shared" si="2"/>
        <v/>
      </c>
      <c r="X58" s="23" t="str">
        <f>IF('Tanuló kiutazások'!B62&lt;&gt;"",'Tanuló kiutazások'!G62*'Tanuló kiutazások'!N62,"")</f>
        <v/>
      </c>
      <c r="Y58" s="23" t="str">
        <f>IF('Tanuló kiutazások'!B62&lt;&gt;"",('Tanuló kiutazások'!L62+'Tanuló kiutazások'!M62)*'Tanuló kiutazások'!K62,"")</f>
        <v/>
      </c>
      <c r="Z58" s="15" t="str">
        <f>IF('Munkatárs kiutazások'!B62&lt;&gt;"",'Munkatárs kiutazások'!G62*'Munkatárs kiutazások'!K62,"")</f>
        <v/>
      </c>
      <c r="AA58" s="15" t="str">
        <f>IF('Munkatárs kiutazások'!B62&lt;&gt;"",'Munkatárs kiutazások'!G62*'Munkatárs kiutazások'!J62,"")</f>
        <v/>
      </c>
    </row>
    <row r="59" spans="14:27" x14ac:dyDescent="0.25">
      <c r="N59" s="15" t="str">
        <f>IF(AND('Tanuló kiutazások'!AD63&lt;&gt;"",'Tanuló kiutazások'!AD63&gt;0),'Tanuló kiutazások'!D63,"")</f>
        <v/>
      </c>
      <c r="O59" s="15" t="str">
        <f>IF('Tanuló kiutazások'!B63&lt;&gt;"",IF('Tanuló kiutazások'!Z63="Jogosult igényelni",IF('Tanuló kiutazások'!AD63&gt;0,'Tanuló kiutazások'!AA63*'Tanuló kiutazások'!AD63*VLOOKUP('Tanuló kiutazások'!C63,Segédlet!$C$5:$G$37,4,0),0),0),"")</f>
        <v/>
      </c>
      <c r="P59" s="15" t="str">
        <f>IF('Tanuló kiutazások'!B63&lt;&gt;"",IF('Tanuló kiutazások'!Z63="Jogosult igényelni",IF('Tanuló kiutazások'!AD63&gt;0,1*'Tanuló kiutazások'!AD63*VLOOKUP('Tanuló kiutazások'!C63,Segédlet!$C$5:$G$37,4,0),0),0),"")</f>
        <v/>
      </c>
      <c r="Q59" s="15" t="str">
        <f>IF('Tanuló kiutazások'!B63&lt;&gt;"",IF(AND('Tanuló kiutazások'!Z63="Jogosult igényelni",'Tanuló kiutazások'!AD63&gt;0),'Tanuló kiutazások'!AA63,0),"")</f>
        <v/>
      </c>
      <c r="R59" s="15" t="str">
        <f>IF('Tanuló kiutazások'!B63&lt;&gt;"",IF(AND('Tanuló kiutazások'!Z63="Jogosult igényelni",'Tanuló kiutazások'!AD63&gt;0),1,0),"")</f>
        <v/>
      </c>
      <c r="S59" s="15" t="str">
        <f>IF('Tanuló kiutazások'!B63&lt;&gt;"",IF('Tanuló kiutazások'!Z63="Jogosult igényelni",IF(AND('Tanuló kiutazások'!AC63&gt;0,'Tanuló kiutazások'!AF63&gt;0),(1+'Tanuló kiutazások'!AA63-'Tanuló kiutazások'!AC63)*VLOOKUP('Tanuló kiutazások'!P63,$I$5:$J$12,2,0),IF('Tanuló kiutazások'!AD63&gt;0,(1+'Tanuló kiutazások'!AA63)*VLOOKUP('Tanuló kiutazások'!P63,$I$5:$J$12,2,0),0)),0),"")</f>
        <v/>
      </c>
      <c r="T59" s="15" t="str">
        <f t="shared" si="0"/>
        <v/>
      </c>
      <c r="U59" s="15" t="str">
        <f t="shared" si="1"/>
        <v/>
      </c>
      <c r="V59" s="15" t="str">
        <f>IF('Tanuló kiutazások'!AD63&gt;0,'Tanuló kiutazások'!AD63,0)</f>
        <v/>
      </c>
      <c r="W59" s="15" t="str">
        <f t="shared" si="2"/>
        <v/>
      </c>
      <c r="X59" s="23" t="str">
        <f>IF('Tanuló kiutazások'!B63&lt;&gt;"",'Tanuló kiutazások'!G63*'Tanuló kiutazások'!N63,"")</f>
        <v/>
      </c>
      <c r="Y59" s="23" t="str">
        <f>IF('Tanuló kiutazások'!B63&lt;&gt;"",('Tanuló kiutazások'!L63+'Tanuló kiutazások'!M63)*'Tanuló kiutazások'!K63,"")</f>
        <v/>
      </c>
      <c r="Z59" s="15" t="str">
        <f>IF('Munkatárs kiutazások'!B63&lt;&gt;"",'Munkatárs kiutazások'!G63*'Munkatárs kiutazások'!K63,"")</f>
        <v/>
      </c>
      <c r="AA59" s="15" t="str">
        <f>IF('Munkatárs kiutazások'!B63&lt;&gt;"",'Munkatárs kiutazások'!G63*'Munkatárs kiutazások'!J63,"")</f>
        <v/>
      </c>
    </row>
    <row r="60" spans="14:27" x14ac:dyDescent="0.25">
      <c r="N60" s="15" t="str">
        <f>IF(AND('Tanuló kiutazások'!AD64&lt;&gt;"",'Tanuló kiutazások'!AD64&gt;0),'Tanuló kiutazások'!D64,"")</f>
        <v/>
      </c>
      <c r="O60" s="15" t="str">
        <f>IF('Tanuló kiutazások'!B64&lt;&gt;"",IF('Tanuló kiutazások'!Z64="Jogosult igényelni",IF('Tanuló kiutazások'!AD64&gt;0,'Tanuló kiutazások'!AA64*'Tanuló kiutazások'!AD64*VLOOKUP('Tanuló kiutazások'!C64,Segédlet!$C$5:$G$37,4,0),0),0),"")</f>
        <v/>
      </c>
      <c r="P60" s="15" t="str">
        <f>IF('Tanuló kiutazások'!B64&lt;&gt;"",IF('Tanuló kiutazások'!Z64="Jogosult igényelni",IF('Tanuló kiutazások'!AD64&gt;0,1*'Tanuló kiutazások'!AD64*VLOOKUP('Tanuló kiutazások'!C64,Segédlet!$C$5:$G$37,4,0),0),0),"")</f>
        <v/>
      </c>
      <c r="Q60" s="15" t="str">
        <f>IF('Tanuló kiutazások'!B64&lt;&gt;"",IF(AND('Tanuló kiutazások'!Z64="Jogosult igényelni",'Tanuló kiutazások'!AD64&gt;0),'Tanuló kiutazások'!AA64,0),"")</f>
        <v/>
      </c>
      <c r="R60" s="15" t="str">
        <f>IF('Tanuló kiutazások'!B64&lt;&gt;"",IF(AND('Tanuló kiutazások'!Z64="Jogosult igényelni",'Tanuló kiutazások'!AD64&gt;0),1,0),"")</f>
        <v/>
      </c>
      <c r="S60" s="15" t="str">
        <f>IF('Tanuló kiutazások'!B64&lt;&gt;"",IF('Tanuló kiutazások'!Z64="Jogosult igényelni",IF(AND('Tanuló kiutazások'!AC64&gt;0,'Tanuló kiutazások'!AF64&gt;0),(1+'Tanuló kiutazások'!AA64-'Tanuló kiutazások'!AC64)*VLOOKUP('Tanuló kiutazások'!P64,$I$5:$J$12,2,0),IF('Tanuló kiutazások'!AD64&gt;0,(1+'Tanuló kiutazások'!AA64)*VLOOKUP('Tanuló kiutazások'!P64,$I$5:$J$12,2,0),0)),0),"")</f>
        <v/>
      </c>
      <c r="T60" s="15" t="str">
        <f t="shared" si="0"/>
        <v/>
      </c>
      <c r="U60" s="15" t="str">
        <f t="shared" si="1"/>
        <v/>
      </c>
      <c r="V60" s="15" t="str">
        <f>IF('Tanuló kiutazások'!AD64&gt;0,'Tanuló kiutazások'!AD64,0)</f>
        <v/>
      </c>
      <c r="W60" s="15" t="str">
        <f t="shared" si="2"/>
        <v/>
      </c>
      <c r="X60" s="23" t="str">
        <f>IF('Tanuló kiutazások'!B64&lt;&gt;"",'Tanuló kiutazások'!G64*'Tanuló kiutazások'!N64,"")</f>
        <v/>
      </c>
      <c r="Y60" s="23" t="str">
        <f>IF('Tanuló kiutazások'!B64&lt;&gt;"",('Tanuló kiutazások'!L64+'Tanuló kiutazások'!M64)*'Tanuló kiutazások'!K64,"")</f>
        <v/>
      </c>
      <c r="Z60" s="15" t="str">
        <f>IF('Munkatárs kiutazások'!B64&lt;&gt;"",'Munkatárs kiutazások'!G64*'Munkatárs kiutazások'!K64,"")</f>
        <v/>
      </c>
      <c r="AA60" s="15" t="str">
        <f>IF('Munkatárs kiutazások'!B64&lt;&gt;"",'Munkatárs kiutazások'!G64*'Munkatárs kiutazások'!J64,"")</f>
        <v/>
      </c>
    </row>
    <row r="61" spans="14:27" x14ac:dyDescent="0.25">
      <c r="N61" s="15" t="str">
        <f>IF(AND('Tanuló kiutazások'!AD65&lt;&gt;"",'Tanuló kiutazások'!AD65&gt;0),'Tanuló kiutazások'!D65,"")</f>
        <v/>
      </c>
      <c r="O61" s="15" t="str">
        <f>IF('Tanuló kiutazások'!B65&lt;&gt;"",IF('Tanuló kiutazások'!Z65="Jogosult igényelni",IF('Tanuló kiutazások'!AD65&gt;0,'Tanuló kiutazások'!AA65*'Tanuló kiutazások'!AD65*VLOOKUP('Tanuló kiutazások'!C65,Segédlet!$C$5:$G$37,4,0),0),0),"")</f>
        <v/>
      </c>
      <c r="P61" s="15" t="str">
        <f>IF('Tanuló kiutazások'!B65&lt;&gt;"",IF('Tanuló kiutazások'!Z65="Jogosult igényelni",IF('Tanuló kiutazások'!AD65&gt;0,1*'Tanuló kiutazások'!AD65*VLOOKUP('Tanuló kiutazások'!C65,Segédlet!$C$5:$G$37,4,0),0),0),"")</f>
        <v/>
      </c>
      <c r="Q61" s="15" t="str">
        <f>IF('Tanuló kiutazások'!B65&lt;&gt;"",IF(AND('Tanuló kiutazások'!Z65="Jogosult igényelni",'Tanuló kiutazások'!AD65&gt;0),'Tanuló kiutazások'!AA65,0),"")</f>
        <v/>
      </c>
      <c r="R61" s="15" t="str">
        <f>IF('Tanuló kiutazások'!B65&lt;&gt;"",IF(AND('Tanuló kiutazások'!Z65="Jogosult igényelni",'Tanuló kiutazások'!AD65&gt;0),1,0),"")</f>
        <v/>
      </c>
      <c r="S61" s="15" t="str">
        <f>IF('Tanuló kiutazások'!B65&lt;&gt;"",IF('Tanuló kiutazások'!Z65="Jogosult igényelni",IF(AND('Tanuló kiutazások'!AC65&gt;0,'Tanuló kiutazások'!AF65&gt;0),(1+'Tanuló kiutazások'!AA65-'Tanuló kiutazások'!AC65)*VLOOKUP('Tanuló kiutazások'!P65,$I$5:$J$12,2,0),IF('Tanuló kiutazások'!AD65&gt;0,(1+'Tanuló kiutazások'!AA65)*VLOOKUP('Tanuló kiutazások'!P65,$I$5:$J$12,2,0),0)),0),"")</f>
        <v/>
      </c>
      <c r="T61" s="15" t="str">
        <f t="shared" si="0"/>
        <v/>
      </c>
      <c r="U61" s="15" t="str">
        <f t="shared" si="1"/>
        <v/>
      </c>
      <c r="V61" s="15" t="str">
        <f>IF('Tanuló kiutazások'!AD65&gt;0,'Tanuló kiutazások'!AD65,0)</f>
        <v/>
      </c>
      <c r="W61" s="15" t="str">
        <f t="shared" si="2"/>
        <v/>
      </c>
      <c r="X61" s="23" t="str">
        <f>IF('Tanuló kiutazások'!B65&lt;&gt;"",'Tanuló kiutazások'!G65*'Tanuló kiutazások'!N65,"")</f>
        <v/>
      </c>
      <c r="Y61" s="23" t="str">
        <f>IF('Tanuló kiutazások'!B65&lt;&gt;"",('Tanuló kiutazások'!L65+'Tanuló kiutazások'!M65)*'Tanuló kiutazások'!K65,"")</f>
        <v/>
      </c>
      <c r="Z61" s="15" t="str">
        <f>IF('Munkatárs kiutazások'!B65&lt;&gt;"",'Munkatárs kiutazások'!G65*'Munkatárs kiutazások'!K65,"")</f>
        <v/>
      </c>
      <c r="AA61" s="15" t="str">
        <f>IF('Munkatárs kiutazások'!B65&lt;&gt;"",'Munkatárs kiutazások'!G65*'Munkatárs kiutazások'!J65,"")</f>
        <v/>
      </c>
    </row>
    <row r="62" spans="14:27" x14ac:dyDescent="0.25">
      <c r="N62" s="15" t="str">
        <f>IF(AND('Tanuló kiutazások'!AD66&lt;&gt;"",'Tanuló kiutazások'!AD66&gt;0),'Tanuló kiutazások'!D66,"")</f>
        <v/>
      </c>
      <c r="O62" s="15" t="str">
        <f>IF('Tanuló kiutazások'!B66&lt;&gt;"",IF('Tanuló kiutazások'!Z66="Jogosult igényelni",IF('Tanuló kiutazások'!AD66&gt;0,'Tanuló kiutazások'!AA66*'Tanuló kiutazások'!AD66*VLOOKUP('Tanuló kiutazások'!C66,Segédlet!$C$5:$G$37,4,0),0),0),"")</f>
        <v/>
      </c>
      <c r="P62" s="15" t="str">
        <f>IF('Tanuló kiutazások'!B66&lt;&gt;"",IF('Tanuló kiutazások'!Z66="Jogosult igényelni",IF('Tanuló kiutazások'!AD66&gt;0,1*'Tanuló kiutazások'!AD66*VLOOKUP('Tanuló kiutazások'!C66,Segédlet!$C$5:$G$37,4,0),0),0),"")</f>
        <v/>
      </c>
      <c r="Q62" s="15" t="str">
        <f>IF('Tanuló kiutazások'!B66&lt;&gt;"",IF(AND('Tanuló kiutazások'!Z66="Jogosult igényelni",'Tanuló kiutazások'!AD66&gt;0),'Tanuló kiutazások'!AA66,0),"")</f>
        <v/>
      </c>
      <c r="R62" s="15" t="str">
        <f>IF('Tanuló kiutazások'!B66&lt;&gt;"",IF(AND('Tanuló kiutazások'!Z66="Jogosult igényelni",'Tanuló kiutazások'!AD66&gt;0),1,0),"")</f>
        <v/>
      </c>
      <c r="S62" s="15" t="str">
        <f>IF('Tanuló kiutazások'!B66&lt;&gt;"",IF('Tanuló kiutazások'!Z66="Jogosult igényelni",IF(AND('Tanuló kiutazások'!AC66&gt;0,'Tanuló kiutazások'!AF66&gt;0),(1+'Tanuló kiutazások'!AA66-'Tanuló kiutazások'!AC66)*VLOOKUP('Tanuló kiutazások'!P66,$I$5:$J$12,2,0),IF('Tanuló kiutazások'!AD66&gt;0,(1+'Tanuló kiutazások'!AA66)*VLOOKUP('Tanuló kiutazások'!P66,$I$5:$J$12,2,0),0)),0),"")</f>
        <v/>
      </c>
      <c r="T62" s="15" t="str">
        <f t="shared" si="0"/>
        <v/>
      </c>
      <c r="U62" s="15" t="str">
        <f t="shared" si="1"/>
        <v/>
      </c>
      <c r="V62" s="15" t="str">
        <f>IF('Tanuló kiutazások'!AD66&gt;0,'Tanuló kiutazások'!AD66,0)</f>
        <v/>
      </c>
      <c r="W62" s="15" t="str">
        <f t="shared" si="2"/>
        <v/>
      </c>
      <c r="X62" s="23" t="str">
        <f>IF('Tanuló kiutazások'!B66&lt;&gt;"",'Tanuló kiutazások'!G66*'Tanuló kiutazások'!N66,"")</f>
        <v/>
      </c>
      <c r="Y62" s="23" t="str">
        <f>IF('Tanuló kiutazások'!B66&lt;&gt;"",('Tanuló kiutazások'!L66+'Tanuló kiutazások'!M66)*'Tanuló kiutazások'!K66,"")</f>
        <v/>
      </c>
      <c r="Z62" s="15" t="str">
        <f>IF('Munkatárs kiutazások'!B66&lt;&gt;"",'Munkatárs kiutazások'!G66*'Munkatárs kiutazások'!K66,"")</f>
        <v/>
      </c>
      <c r="AA62" s="15" t="str">
        <f>IF('Munkatárs kiutazások'!B66&lt;&gt;"",'Munkatárs kiutazások'!G66*'Munkatárs kiutazások'!J66,"")</f>
        <v/>
      </c>
    </row>
    <row r="63" spans="14:27" x14ac:dyDescent="0.25">
      <c r="N63" s="15" t="str">
        <f>IF(AND('Tanuló kiutazások'!AD67&lt;&gt;"",'Tanuló kiutazások'!AD67&gt;0),'Tanuló kiutazások'!D67,"")</f>
        <v/>
      </c>
      <c r="O63" s="15" t="str">
        <f>IF('Tanuló kiutazások'!B67&lt;&gt;"",IF('Tanuló kiutazások'!Z67="Jogosult igényelni",IF('Tanuló kiutazások'!AD67&gt;0,'Tanuló kiutazások'!AA67*'Tanuló kiutazások'!AD67*VLOOKUP('Tanuló kiutazások'!C67,Segédlet!$C$5:$G$37,4,0),0),0),"")</f>
        <v/>
      </c>
      <c r="P63" s="15" t="str">
        <f>IF('Tanuló kiutazások'!B67&lt;&gt;"",IF('Tanuló kiutazások'!Z67="Jogosult igényelni",IF('Tanuló kiutazások'!AD67&gt;0,1*'Tanuló kiutazások'!AD67*VLOOKUP('Tanuló kiutazások'!C67,Segédlet!$C$5:$G$37,4,0),0),0),"")</f>
        <v/>
      </c>
      <c r="Q63" s="15" t="str">
        <f>IF('Tanuló kiutazások'!B67&lt;&gt;"",IF(AND('Tanuló kiutazások'!Z67="Jogosult igényelni",'Tanuló kiutazások'!AD67&gt;0),'Tanuló kiutazások'!AA67,0),"")</f>
        <v/>
      </c>
      <c r="R63" s="15" t="str">
        <f>IF('Tanuló kiutazások'!B67&lt;&gt;"",IF(AND('Tanuló kiutazások'!Z67="Jogosult igényelni",'Tanuló kiutazások'!AD67&gt;0),1,0),"")</f>
        <v/>
      </c>
      <c r="S63" s="15" t="str">
        <f>IF('Tanuló kiutazások'!B67&lt;&gt;"",IF('Tanuló kiutazások'!Z67="Jogosult igényelni",IF(AND('Tanuló kiutazások'!AC67&gt;0,'Tanuló kiutazások'!AF67&gt;0),(1+'Tanuló kiutazások'!AA67-'Tanuló kiutazások'!AC67)*VLOOKUP('Tanuló kiutazások'!P67,$I$5:$J$12,2,0),IF('Tanuló kiutazások'!AD67&gt;0,(1+'Tanuló kiutazások'!AA67)*VLOOKUP('Tanuló kiutazások'!P67,$I$5:$J$12,2,0),0)),0),"")</f>
        <v/>
      </c>
      <c r="T63" s="15" t="str">
        <f t="shared" si="0"/>
        <v/>
      </c>
      <c r="U63" s="15" t="str">
        <f t="shared" si="1"/>
        <v/>
      </c>
      <c r="V63" s="15" t="str">
        <f>IF('Tanuló kiutazások'!AD67&gt;0,'Tanuló kiutazások'!AD67,0)</f>
        <v/>
      </c>
      <c r="W63" s="15" t="str">
        <f t="shared" si="2"/>
        <v/>
      </c>
      <c r="X63" s="23" t="str">
        <f>IF('Tanuló kiutazások'!B67&lt;&gt;"",'Tanuló kiutazások'!G67*'Tanuló kiutazások'!N67,"")</f>
        <v/>
      </c>
      <c r="Y63" s="23" t="str">
        <f>IF('Tanuló kiutazások'!B67&lt;&gt;"",('Tanuló kiutazások'!L67+'Tanuló kiutazások'!M67)*'Tanuló kiutazások'!K67,"")</f>
        <v/>
      </c>
      <c r="Z63" s="15" t="str">
        <f>IF('Munkatárs kiutazások'!B67&lt;&gt;"",'Munkatárs kiutazások'!G67*'Munkatárs kiutazások'!K67,"")</f>
        <v/>
      </c>
      <c r="AA63" s="15" t="str">
        <f>IF('Munkatárs kiutazások'!B67&lt;&gt;"",'Munkatárs kiutazások'!G67*'Munkatárs kiutazások'!J67,"")</f>
        <v/>
      </c>
    </row>
    <row r="64" spans="14:27" x14ac:dyDescent="0.25">
      <c r="N64" s="15" t="str">
        <f>IF(AND('Tanuló kiutazások'!AD68&lt;&gt;"",'Tanuló kiutazások'!AD68&gt;0),'Tanuló kiutazások'!D68,"")</f>
        <v/>
      </c>
      <c r="O64" s="15" t="str">
        <f>IF('Tanuló kiutazások'!B68&lt;&gt;"",IF('Tanuló kiutazások'!Z68="Jogosult igényelni",IF('Tanuló kiutazások'!AD68&gt;0,'Tanuló kiutazások'!AA68*'Tanuló kiutazások'!AD68*VLOOKUP('Tanuló kiutazások'!C68,Segédlet!$C$5:$G$37,4,0),0),0),"")</f>
        <v/>
      </c>
      <c r="P64" s="15" t="str">
        <f>IF('Tanuló kiutazások'!B68&lt;&gt;"",IF('Tanuló kiutazások'!Z68="Jogosult igényelni",IF('Tanuló kiutazások'!AD68&gt;0,1*'Tanuló kiutazások'!AD68*VLOOKUP('Tanuló kiutazások'!C68,Segédlet!$C$5:$G$37,4,0),0),0),"")</f>
        <v/>
      </c>
      <c r="Q64" s="15" t="str">
        <f>IF('Tanuló kiutazások'!B68&lt;&gt;"",IF(AND('Tanuló kiutazások'!Z68="Jogosult igényelni",'Tanuló kiutazások'!AD68&gt;0),'Tanuló kiutazások'!AA68,0),"")</f>
        <v/>
      </c>
      <c r="R64" s="15" t="str">
        <f>IF('Tanuló kiutazások'!B68&lt;&gt;"",IF(AND('Tanuló kiutazások'!Z68="Jogosult igényelni",'Tanuló kiutazások'!AD68&gt;0),1,0),"")</f>
        <v/>
      </c>
      <c r="S64" s="15" t="str">
        <f>IF('Tanuló kiutazások'!B68&lt;&gt;"",IF('Tanuló kiutazások'!Z68="Jogosult igényelni",IF(AND('Tanuló kiutazások'!AC68&gt;0,'Tanuló kiutazások'!AF68&gt;0),(1+'Tanuló kiutazások'!AA68-'Tanuló kiutazások'!AC68)*VLOOKUP('Tanuló kiutazások'!P68,$I$5:$J$12,2,0),IF('Tanuló kiutazások'!AD68&gt;0,(1+'Tanuló kiutazások'!AA68)*VLOOKUP('Tanuló kiutazások'!P68,$I$5:$J$12,2,0),0)),0),"")</f>
        <v/>
      </c>
      <c r="T64" s="15" t="str">
        <f t="shared" si="0"/>
        <v/>
      </c>
      <c r="U64" s="15" t="str">
        <f t="shared" si="1"/>
        <v/>
      </c>
      <c r="V64" s="15" t="str">
        <f>IF('Tanuló kiutazások'!AD68&gt;0,'Tanuló kiutazások'!AD68,0)</f>
        <v/>
      </c>
      <c r="W64" s="15" t="str">
        <f t="shared" si="2"/>
        <v/>
      </c>
      <c r="X64" s="23" t="str">
        <f>IF('Tanuló kiutazások'!B68&lt;&gt;"",'Tanuló kiutazások'!G68*'Tanuló kiutazások'!N68,"")</f>
        <v/>
      </c>
      <c r="Y64" s="23" t="str">
        <f>IF('Tanuló kiutazások'!B68&lt;&gt;"",('Tanuló kiutazások'!L68+'Tanuló kiutazások'!M68)*'Tanuló kiutazások'!K68,"")</f>
        <v/>
      </c>
      <c r="Z64" s="15" t="str">
        <f>IF('Munkatárs kiutazások'!B68&lt;&gt;"",'Munkatárs kiutazások'!G68*'Munkatárs kiutazások'!K68,"")</f>
        <v/>
      </c>
      <c r="AA64" s="15" t="str">
        <f>IF('Munkatárs kiutazások'!B68&lt;&gt;"",'Munkatárs kiutazások'!G68*'Munkatárs kiutazások'!J68,"")</f>
        <v/>
      </c>
    </row>
    <row r="65" spans="14:27" x14ac:dyDescent="0.25">
      <c r="N65" s="15" t="str">
        <f>IF(AND('Tanuló kiutazások'!AD69&lt;&gt;"",'Tanuló kiutazások'!AD69&gt;0),'Tanuló kiutazások'!D69,"")</f>
        <v/>
      </c>
      <c r="O65" s="15" t="str">
        <f>IF('Tanuló kiutazások'!B69&lt;&gt;"",IF('Tanuló kiutazások'!Z69="Jogosult igényelni",IF('Tanuló kiutazások'!AD69&gt;0,'Tanuló kiutazások'!AA69*'Tanuló kiutazások'!AD69*VLOOKUP('Tanuló kiutazások'!C69,Segédlet!$C$5:$G$37,4,0),0),0),"")</f>
        <v/>
      </c>
      <c r="P65" s="15" t="str">
        <f>IF('Tanuló kiutazások'!B69&lt;&gt;"",IF('Tanuló kiutazások'!Z69="Jogosult igényelni",IF('Tanuló kiutazások'!AD69&gt;0,1*'Tanuló kiutazások'!AD69*VLOOKUP('Tanuló kiutazások'!C69,Segédlet!$C$5:$G$37,4,0),0),0),"")</f>
        <v/>
      </c>
      <c r="Q65" s="15" t="str">
        <f>IF('Tanuló kiutazások'!B69&lt;&gt;"",IF(AND('Tanuló kiutazások'!Z69="Jogosult igényelni",'Tanuló kiutazások'!AD69&gt;0),'Tanuló kiutazások'!AA69,0),"")</f>
        <v/>
      </c>
      <c r="R65" s="15" t="str">
        <f>IF('Tanuló kiutazások'!B69&lt;&gt;"",IF(AND('Tanuló kiutazások'!Z69="Jogosult igényelni",'Tanuló kiutazások'!AD69&gt;0),1,0),"")</f>
        <v/>
      </c>
      <c r="S65" s="15" t="str">
        <f>IF('Tanuló kiutazások'!B69&lt;&gt;"",IF('Tanuló kiutazások'!Z69="Jogosult igényelni",IF(AND('Tanuló kiutazások'!AC69&gt;0,'Tanuló kiutazások'!AF69&gt;0),(1+'Tanuló kiutazások'!AA69-'Tanuló kiutazások'!AC69)*VLOOKUP('Tanuló kiutazások'!P69,$I$5:$J$12,2,0),IF('Tanuló kiutazások'!AD69&gt;0,(1+'Tanuló kiutazások'!AA69)*VLOOKUP('Tanuló kiutazások'!P69,$I$5:$J$12,2,0),0)),0),"")</f>
        <v/>
      </c>
      <c r="T65" s="15" t="str">
        <f t="shared" si="0"/>
        <v/>
      </c>
      <c r="U65" s="15" t="str">
        <f t="shared" si="1"/>
        <v/>
      </c>
      <c r="V65" s="15" t="str">
        <f>IF('Tanuló kiutazások'!AD69&gt;0,'Tanuló kiutazások'!AD69,0)</f>
        <v/>
      </c>
      <c r="W65" s="15" t="str">
        <f t="shared" si="2"/>
        <v/>
      </c>
      <c r="X65" s="23" t="str">
        <f>IF('Tanuló kiutazások'!B69&lt;&gt;"",'Tanuló kiutazások'!G69*'Tanuló kiutazások'!N69,"")</f>
        <v/>
      </c>
      <c r="Y65" s="23" t="str">
        <f>IF('Tanuló kiutazások'!B69&lt;&gt;"",('Tanuló kiutazások'!L69+'Tanuló kiutazások'!M69)*'Tanuló kiutazások'!K69,"")</f>
        <v/>
      </c>
      <c r="Z65" s="15" t="str">
        <f>IF('Munkatárs kiutazások'!B69&lt;&gt;"",'Munkatárs kiutazások'!G69*'Munkatárs kiutazások'!K69,"")</f>
        <v/>
      </c>
      <c r="AA65" s="15" t="str">
        <f>IF('Munkatárs kiutazások'!B69&lt;&gt;"",'Munkatárs kiutazások'!G69*'Munkatárs kiutazások'!J69,"")</f>
        <v/>
      </c>
    </row>
    <row r="66" spans="14:27" x14ac:dyDescent="0.25">
      <c r="N66" s="15" t="str">
        <f>IF(AND('Tanuló kiutazások'!AD70&lt;&gt;"",'Tanuló kiutazások'!AD70&gt;0),'Tanuló kiutazások'!D70,"")</f>
        <v/>
      </c>
      <c r="O66" s="15" t="str">
        <f>IF('Tanuló kiutazások'!B70&lt;&gt;"",IF('Tanuló kiutazások'!Z70="Jogosult igényelni",IF('Tanuló kiutazások'!AD70&gt;0,'Tanuló kiutazások'!AA70*'Tanuló kiutazások'!AD70*VLOOKUP('Tanuló kiutazások'!C70,Segédlet!$C$5:$G$37,4,0),0),0),"")</f>
        <v/>
      </c>
      <c r="P66" s="15" t="str">
        <f>IF('Tanuló kiutazások'!B70&lt;&gt;"",IF('Tanuló kiutazások'!Z70="Jogosult igényelni",IF('Tanuló kiutazások'!AD70&gt;0,1*'Tanuló kiutazások'!AD70*VLOOKUP('Tanuló kiutazások'!C70,Segédlet!$C$5:$G$37,4,0),0),0),"")</f>
        <v/>
      </c>
      <c r="Q66" s="15" t="str">
        <f>IF('Tanuló kiutazások'!B70&lt;&gt;"",IF(AND('Tanuló kiutazások'!Z70="Jogosult igényelni",'Tanuló kiutazások'!AD70&gt;0),'Tanuló kiutazások'!AA70,0),"")</f>
        <v/>
      </c>
      <c r="R66" s="15" t="str">
        <f>IF('Tanuló kiutazások'!B70&lt;&gt;"",IF(AND('Tanuló kiutazások'!Z70="Jogosult igényelni",'Tanuló kiutazások'!AD70&gt;0),1,0),"")</f>
        <v/>
      </c>
      <c r="S66" s="15" t="str">
        <f>IF('Tanuló kiutazások'!B70&lt;&gt;"",IF('Tanuló kiutazások'!Z70="Jogosult igényelni",IF(AND('Tanuló kiutazások'!AC70&gt;0,'Tanuló kiutazások'!AF70&gt;0),(1+'Tanuló kiutazások'!AA70-'Tanuló kiutazások'!AC70)*VLOOKUP('Tanuló kiutazások'!P70,$I$5:$J$12,2,0),IF('Tanuló kiutazások'!AD70&gt;0,(1+'Tanuló kiutazások'!AA70)*VLOOKUP('Tanuló kiutazások'!P70,$I$5:$J$12,2,0),0)),0),"")</f>
        <v/>
      </c>
      <c r="T66" s="15" t="str">
        <f t="shared" si="0"/>
        <v/>
      </c>
      <c r="U66" s="15" t="str">
        <f t="shared" si="1"/>
        <v/>
      </c>
      <c r="V66" s="15" t="str">
        <f>IF('Tanuló kiutazások'!AD70&gt;0,'Tanuló kiutazások'!AD70,0)</f>
        <v/>
      </c>
      <c r="W66" s="15" t="str">
        <f t="shared" si="2"/>
        <v/>
      </c>
      <c r="X66" s="23" t="str">
        <f>IF('Tanuló kiutazások'!B70&lt;&gt;"",'Tanuló kiutazások'!G70*'Tanuló kiutazások'!N70,"")</f>
        <v/>
      </c>
      <c r="Y66" s="23" t="str">
        <f>IF('Tanuló kiutazások'!B70&lt;&gt;"",('Tanuló kiutazások'!L70+'Tanuló kiutazások'!M70)*'Tanuló kiutazások'!K70,"")</f>
        <v/>
      </c>
      <c r="Z66" s="15" t="str">
        <f>IF('Munkatárs kiutazások'!B70&lt;&gt;"",'Munkatárs kiutazások'!G70*'Munkatárs kiutazások'!K70,"")</f>
        <v/>
      </c>
      <c r="AA66" s="15" t="str">
        <f>IF('Munkatárs kiutazások'!B70&lt;&gt;"",'Munkatárs kiutazások'!G70*'Munkatárs kiutazások'!J70,"")</f>
        <v/>
      </c>
    </row>
    <row r="67" spans="14:27" x14ac:dyDescent="0.25">
      <c r="N67" s="15" t="str">
        <f>IF(AND('Tanuló kiutazások'!AD71&lt;&gt;"",'Tanuló kiutazások'!AD71&gt;0),'Tanuló kiutazások'!D71,"")</f>
        <v/>
      </c>
      <c r="O67" s="15" t="str">
        <f>IF('Tanuló kiutazások'!B71&lt;&gt;"",IF('Tanuló kiutazások'!Z71="Jogosult igényelni",IF('Tanuló kiutazások'!AD71&gt;0,'Tanuló kiutazások'!AA71*'Tanuló kiutazások'!AD71*VLOOKUP('Tanuló kiutazások'!C71,Segédlet!$C$5:$G$37,4,0),0),0),"")</f>
        <v/>
      </c>
      <c r="P67" s="15" t="str">
        <f>IF('Tanuló kiutazások'!B71&lt;&gt;"",IF('Tanuló kiutazások'!Z71="Jogosult igényelni",IF('Tanuló kiutazások'!AD71&gt;0,1*'Tanuló kiutazások'!AD71*VLOOKUP('Tanuló kiutazások'!C71,Segédlet!$C$5:$G$37,4,0),0),0),"")</f>
        <v/>
      </c>
      <c r="Q67" s="15" t="str">
        <f>IF('Tanuló kiutazások'!B71&lt;&gt;"",IF(AND('Tanuló kiutazások'!Z71="Jogosult igényelni",'Tanuló kiutazások'!AD71&gt;0),'Tanuló kiutazások'!AA71,0),"")</f>
        <v/>
      </c>
      <c r="R67" s="15" t="str">
        <f>IF('Tanuló kiutazások'!B71&lt;&gt;"",IF(AND('Tanuló kiutazások'!Z71="Jogosult igényelni",'Tanuló kiutazások'!AD71&gt;0),1,0),"")</f>
        <v/>
      </c>
      <c r="S67" s="15" t="str">
        <f>IF('Tanuló kiutazások'!B71&lt;&gt;"",IF('Tanuló kiutazások'!Z71="Jogosult igényelni",IF(AND('Tanuló kiutazások'!AC71&gt;0,'Tanuló kiutazások'!AF71&gt;0),(1+'Tanuló kiutazások'!AA71-'Tanuló kiutazások'!AC71)*VLOOKUP('Tanuló kiutazások'!P71,$I$5:$J$12,2,0),IF('Tanuló kiutazások'!AD71&gt;0,(1+'Tanuló kiutazások'!AA71)*VLOOKUP('Tanuló kiutazások'!P71,$I$5:$J$12,2,0),0)),0),"")</f>
        <v/>
      </c>
      <c r="T67" s="15" t="str">
        <f t="shared" si="0"/>
        <v/>
      </c>
      <c r="U67" s="15" t="str">
        <f t="shared" si="1"/>
        <v/>
      </c>
      <c r="V67" s="15" t="str">
        <f>IF('Tanuló kiutazások'!AD71&gt;0,'Tanuló kiutazások'!AD71,0)</f>
        <v/>
      </c>
      <c r="W67" s="15" t="str">
        <f t="shared" si="2"/>
        <v/>
      </c>
      <c r="X67" s="23" t="str">
        <f>IF('Tanuló kiutazások'!B71&lt;&gt;"",'Tanuló kiutazások'!G71*'Tanuló kiutazások'!N71,"")</f>
        <v/>
      </c>
      <c r="Y67" s="23" t="str">
        <f>IF('Tanuló kiutazások'!B71&lt;&gt;"",('Tanuló kiutazások'!L71+'Tanuló kiutazások'!M71)*'Tanuló kiutazások'!K71,"")</f>
        <v/>
      </c>
      <c r="Z67" s="15" t="str">
        <f>IF('Munkatárs kiutazások'!B71&lt;&gt;"",'Munkatárs kiutazások'!G71*'Munkatárs kiutazások'!K71,"")</f>
        <v/>
      </c>
      <c r="AA67" s="15" t="str">
        <f>IF('Munkatárs kiutazások'!B71&lt;&gt;"",'Munkatárs kiutazások'!G71*'Munkatárs kiutazások'!J71,"")</f>
        <v/>
      </c>
    </row>
    <row r="68" spans="14:27" x14ac:dyDescent="0.25">
      <c r="N68" s="15" t="str">
        <f>IF(AND('Tanuló kiutazások'!AD72&lt;&gt;"",'Tanuló kiutazások'!AD72&gt;0),'Tanuló kiutazások'!D72,"")</f>
        <v/>
      </c>
      <c r="O68" s="15" t="str">
        <f>IF('Tanuló kiutazások'!B72&lt;&gt;"",IF('Tanuló kiutazások'!Z72="Jogosult igényelni",IF('Tanuló kiutazások'!AD72&gt;0,'Tanuló kiutazások'!AA72*'Tanuló kiutazások'!AD72*VLOOKUP('Tanuló kiutazások'!C72,Segédlet!$C$5:$G$37,4,0),0),0),"")</f>
        <v/>
      </c>
      <c r="P68" s="15" t="str">
        <f>IF('Tanuló kiutazások'!B72&lt;&gt;"",IF('Tanuló kiutazások'!Z72="Jogosult igényelni",IF('Tanuló kiutazások'!AD72&gt;0,1*'Tanuló kiutazások'!AD72*VLOOKUP('Tanuló kiutazások'!C72,Segédlet!$C$5:$G$37,4,0),0),0),"")</f>
        <v/>
      </c>
      <c r="Q68" s="15" t="str">
        <f>IF('Tanuló kiutazások'!B72&lt;&gt;"",IF(AND('Tanuló kiutazások'!Z72="Jogosult igényelni",'Tanuló kiutazások'!AD72&gt;0),'Tanuló kiutazások'!AA72,0),"")</f>
        <v/>
      </c>
      <c r="R68" s="15" t="str">
        <f>IF('Tanuló kiutazások'!B72&lt;&gt;"",IF(AND('Tanuló kiutazások'!Z72="Jogosult igényelni",'Tanuló kiutazások'!AD72&gt;0),1,0),"")</f>
        <v/>
      </c>
      <c r="S68" s="15" t="str">
        <f>IF('Tanuló kiutazások'!B72&lt;&gt;"",IF('Tanuló kiutazások'!Z72="Jogosult igényelni",IF(AND('Tanuló kiutazások'!AC72&gt;0,'Tanuló kiutazások'!AF72&gt;0),(1+'Tanuló kiutazások'!AA72-'Tanuló kiutazások'!AC72)*VLOOKUP('Tanuló kiutazások'!P72,$I$5:$J$12,2,0),IF('Tanuló kiutazások'!AD72&gt;0,(1+'Tanuló kiutazások'!AA72)*VLOOKUP('Tanuló kiutazások'!P72,$I$5:$J$12,2,0),0)),0),"")</f>
        <v/>
      </c>
      <c r="T68" s="15" t="str">
        <f t="shared" ref="T68:T102" si="7">IF(N68&lt;&gt;"",IF(Q68=1,S68/2,0),"")</f>
        <v/>
      </c>
      <c r="U68" s="15" t="str">
        <f t="shared" ref="U68:U102" si="8">IF(N68&lt;&gt;"",IF(Q68=0,S68,S68/2),"")</f>
        <v/>
      </c>
      <c r="V68" s="15" t="str">
        <f>IF('Tanuló kiutazások'!AD72&gt;0,'Tanuló kiutazások'!AD72,0)</f>
        <v/>
      </c>
      <c r="W68" s="15" t="str">
        <f t="shared" ref="W68:W102" si="9">IF(AND(Q68&lt;&gt;"",Q68&gt;0),V68,IF(N68="","",0))</f>
        <v/>
      </c>
      <c r="X68" s="23" t="str">
        <f>IF('Tanuló kiutazások'!B72&lt;&gt;"",'Tanuló kiutazások'!G72*'Tanuló kiutazások'!N72,"")</f>
        <v/>
      </c>
      <c r="Y68" s="23" t="str">
        <f>IF('Tanuló kiutazások'!B72&lt;&gt;"",('Tanuló kiutazások'!L72+'Tanuló kiutazások'!M72)*'Tanuló kiutazások'!K72,"")</f>
        <v/>
      </c>
      <c r="Z68" s="15" t="str">
        <f>IF('Munkatárs kiutazások'!B72&lt;&gt;"",'Munkatárs kiutazások'!G72*'Munkatárs kiutazások'!K72,"")</f>
        <v/>
      </c>
      <c r="AA68" s="15" t="str">
        <f>IF('Munkatárs kiutazások'!B72&lt;&gt;"",'Munkatárs kiutazások'!G72*'Munkatárs kiutazások'!J72,"")</f>
        <v/>
      </c>
    </row>
    <row r="69" spans="14:27" x14ac:dyDescent="0.25">
      <c r="N69" s="15" t="str">
        <f>IF(AND('Tanuló kiutazások'!AD73&lt;&gt;"",'Tanuló kiutazások'!AD73&gt;0),'Tanuló kiutazások'!D73,"")</f>
        <v/>
      </c>
      <c r="O69" s="15" t="str">
        <f>IF('Tanuló kiutazások'!B73&lt;&gt;"",IF('Tanuló kiutazások'!Z73="Jogosult igényelni",IF('Tanuló kiutazások'!AD73&gt;0,'Tanuló kiutazások'!AA73*'Tanuló kiutazások'!AD73*VLOOKUP('Tanuló kiutazások'!C73,Segédlet!$C$5:$G$37,4,0),0),0),"")</f>
        <v/>
      </c>
      <c r="P69" s="15" t="str">
        <f>IF('Tanuló kiutazások'!B73&lt;&gt;"",IF('Tanuló kiutazások'!Z73="Jogosult igényelni",IF('Tanuló kiutazások'!AD73&gt;0,1*'Tanuló kiutazások'!AD73*VLOOKUP('Tanuló kiutazások'!C73,Segédlet!$C$5:$G$37,4,0),0),0),"")</f>
        <v/>
      </c>
      <c r="Q69" s="15" t="str">
        <f>IF('Tanuló kiutazások'!B73&lt;&gt;"",IF(AND('Tanuló kiutazások'!Z73="Jogosult igényelni",'Tanuló kiutazások'!AD73&gt;0),'Tanuló kiutazások'!AA73,0),"")</f>
        <v/>
      </c>
      <c r="R69" s="15" t="str">
        <f>IF('Tanuló kiutazások'!B73&lt;&gt;"",IF(AND('Tanuló kiutazások'!Z73="Jogosult igényelni",'Tanuló kiutazások'!AD73&gt;0),1,0),"")</f>
        <v/>
      </c>
      <c r="S69" s="15" t="str">
        <f>IF('Tanuló kiutazások'!B73&lt;&gt;"",IF('Tanuló kiutazások'!Z73="Jogosult igényelni",IF(AND('Tanuló kiutazások'!AC73&gt;0,'Tanuló kiutazások'!AF73&gt;0),(1+'Tanuló kiutazások'!AA73-'Tanuló kiutazások'!AC73)*VLOOKUP('Tanuló kiutazások'!P73,$I$5:$J$12,2,0),IF('Tanuló kiutazások'!AD73&gt;0,(1+'Tanuló kiutazások'!AA73)*VLOOKUP('Tanuló kiutazások'!P73,$I$5:$J$12,2,0),0)),0),"")</f>
        <v/>
      </c>
      <c r="T69" s="15" t="str">
        <f t="shared" si="7"/>
        <v/>
      </c>
      <c r="U69" s="15" t="str">
        <f t="shared" si="8"/>
        <v/>
      </c>
      <c r="V69" s="15" t="str">
        <f>IF('Tanuló kiutazások'!AD73&gt;0,'Tanuló kiutazások'!AD73,0)</f>
        <v/>
      </c>
      <c r="W69" s="15" t="str">
        <f t="shared" si="9"/>
        <v/>
      </c>
      <c r="X69" s="23" t="str">
        <f>IF('Tanuló kiutazások'!B73&lt;&gt;"",'Tanuló kiutazások'!G73*'Tanuló kiutazások'!N73,"")</f>
        <v/>
      </c>
      <c r="Y69" s="23" t="str">
        <f>IF('Tanuló kiutazások'!B73&lt;&gt;"",('Tanuló kiutazások'!L73+'Tanuló kiutazások'!M73)*'Tanuló kiutazások'!K73,"")</f>
        <v/>
      </c>
      <c r="Z69" s="15" t="str">
        <f>IF('Munkatárs kiutazások'!B73&lt;&gt;"",'Munkatárs kiutazások'!G73*'Munkatárs kiutazások'!K73,"")</f>
        <v/>
      </c>
      <c r="AA69" s="15" t="str">
        <f>IF('Munkatárs kiutazások'!B73&lt;&gt;"",'Munkatárs kiutazások'!G73*'Munkatárs kiutazások'!J73,"")</f>
        <v/>
      </c>
    </row>
    <row r="70" spans="14:27" x14ac:dyDescent="0.25">
      <c r="N70" s="15" t="str">
        <f>IF(AND('Tanuló kiutazások'!AD74&lt;&gt;"",'Tanuló kiutazások'!AD74&gt;0),'Tanuló kiutazások'!D74,"")</f>
        <v/>
      </c>
      <c r="O70" s="15" t="str">
        <f>IF('Tanuló kiutazások'!B74&lt;&gt;"",IF('Tanuló kiutazások'!Z74="Jogosult igényelni",IF('Tanuló kiutazások'!AD74&gt;0,'Tanuló kiutazások'!AA74*'Tanuló kiutazások'!AD74*VLOOKUP('Tanuló kiutazások'!C74,Segédlet!$C$5:$G$37,4,0),0),0),"")</f>
        <v/>
      </c>
      <c r="P70" s="15" t="str">
        <f>IF('Tanuló kiutazások'!B74&lt;&gt;"",IF('Tanuló kiutazások'!Z74="Jogosult igényelni",IF('Tanuló kiutazások'!AD74&gt;0,1*'Tanuló kiutazások'!AD74*VLOOKUP('Tanuló kiutazások'!C74,Segédlet!$C$5:$G$37,4,0),0),0),"")</f>
        <v/>
      </c>
      <c r="Q70" s="15" t="str">
        <f>IF('Tanuló kiutazások'!B74&lt;&gt;"",IF(AND('Tanuló kiutazások'!Z74="Jogosult igényelni",'Tanuló kiutazások'!AD74&gt;0),'Tanuló kiutazások'!AA74,0),"")</f>
        <v/>
      </c>
      <c r="R70" s="15" t="str">
        <f>IF('Tanuló kiutazások'!B74&lt;&gt;"",IF(AND('Tanuló kiutazások'!Z74="Jogosult igényelni",'Tanuló kiutazások'!AD74&gt;0),1,0),"")</f>
        <v/>
      </c>
      <c r="S70" s="15" t="str">
        <f>IF('Tanuló kiutazások'!B74&lt;&gt;"",IF('Tanuló kiutazások'!Z74="Jogosult igényelni",IF(AND('Tanuló kiutazások'!AC74&gt;0,'Tanuló kiutazások'!AF74&gt;0),(1+'Tanuló kiutazások'!AA74-'Tanuló kiutazások'!AC74)*VLOOKUP('Tanuló kiutazások'!P74,$I$5:$J$12,2,0),IF('Tanuló kiutazások'!AD74&gt;0,(1+'Tanuló kiutazások'!AA74)*VLOOKUP('Tanuló kiutazások'!P74,$I$5:$J$12,2,0),0)),0),"")</f>
        <v/>
      </c>
      <c r="T70" s="15" t="str">
        <f t="shared" si="7"/>
        <v/>
      </c>
      <c r="U70" s="15" t="str">
        <f t="shared" si="8"/>
        <v/>
      </c>
      <c r="V70" s="15" t="str">
        <f>IF('Tanuló kiutazások'!AD74&gt;0,'Tanuló kiutazások'!AD74,0)</f>
        <v/>
      </c>
      <c r="W70" s="15" t="str">
        <f t="shared" si="9"/>
        <v/>
      </c>
      <c r="X70" s="23" t="str">
        <f>IF('Tanuló kiutazások'!B74&lt;&gt;"",'Tanuló kiutazások'!G74*'Tanuló kiutazások'!N74,"")</f>
        <v/>
      </c>
      <c r="Y70" s="23" t="str">
        <f>IF('Tanuló kiutazások'!B74&lt;&gt;"",('Tanuló kiutazások'!L74+'Tanuló kiutazások'!M74)*'Tanuló kiutazások'!K74,"")</f>
        <v/>
      </c>
      <c r="Z70" s="15" t="str">
        <f>IF('Munkatárs kiutazások'!B74&lt;&gt;"",'Munkatárs kiutazások'!G74*'Munkatárs kiutazások'!K74,"")</f>
        <v/>
      </c>
      <c r="AA70" s="15" t="str">
        <f>IF('Munkatárs kiutazások'!B74&lt;&gt;"",'Munkatárs kiutazások'!G74*'Munkatárs kiutazások'!J74,"")</f>
        <v/>
      </c>
    </row>
    <row r="71" spans="14:27" x14ac:dyDescent="0.25">
      <c r="N71" s="15" t="str">
        <f>IF(AND('Tanuló kiutazások'!AD75&lt;&gt;"",'Tanuló kiutazások'!AD75&gt;0),'Tanuló kiutazások'!D75,"")</f>
        <v/>
      </c>
      <c r="O71" s="15" t="str">
        <f>IF('Tanuló kiutazások'!B75&lt;&gt;"",IF('Tanuló kiutazások'!Z75="Jogosult igényelni",IF('Tanuló kiutazások'!AD75&gt;0,'Tanuló kiutazások'!AA75*'Tanuló kiutazások'!AD75*VLOOKUP('Tanuló kiutazások'!C75,Segédlet!$C$5:$G$37,4,0),0),0),"")</f>
        <v/>
      </c>
      <c r="P71" s="15" t="str">
        <f>IF('Tanuló kiutazások'!B75&lt;&gt;"",IF('Tanuló kiutazások'!Z75="Jogosult igényelni",IF('Tanuló kiutazások'!AD75&gt;0,1*'Tanuló kiutazások'!AD75*VLOOKUP('Tanuló kiutazások'!C75,Segédlet!$C$5:$G$37,4,0),0),0),"")</f>
        <v/>
      </c>
      <c r="Q71" s="15" t="str">
        <f>IF('Tanuló kiutazások'!B75&lt;&gt;"",IF(AND('Tanuló kiutazások'!Z75="Jogosult igényelni",'Tanuló kiutazások'!AD75&gt;0),'Tanuló kiutazások'!AA75,0),"")</f>
        <v/>
      </c>
      <c r="R71" s="15" t="str">
        <f>IF('Tanuló kiutazások'!B75&lt;&gt;"",IF(AND('Tanuló kiutazások'!Z75="Jogosult igényelni",'Tanuló kiutazások'!AD75&gt;0),1,0),"")</f>
        <v/>
      </c>
      <c r="S71" s="15" t="str">
        <f>IF('Tanuló kiutazások'!B75&lt;&gt;"",IF('Tanuló kiutazások'!Z75="Jogosult igényelni",IF(AND('Tanuló kiutazások'!AC75&gt;0,'Tanuló kiutazások'!AF75&gt;0),(1+'Tanuló kiutazások'!AA75-'Tanuló kiutazások'!AC75)*VLOOKUP('Tanuló kiutazások'!P75,$I$5:$J$12,2,0),IF('Tanuló kiutazások'!AD75&gt;0,(1+'Tanuló kiutazások'!AA75)*VLOOKUP('Tanuló kiutazások'!P75,$I$5:$J$12,2,0),0)),0),"")</f>
        <v/>
      </c>
      <c r="T71" s="15" t="str">
        <f t="shared" si="7"/>
        <v/>
      </c>
      <c r="U71" s="15" t="str">
        <f t="shared" si="8"/>
        <v/>
      </c>
      <c r="V71" s="15" t="str">
        <f>IF('Tanuló kiutazások'!AD75&gt;0,'Tanuló kiutazások'!AD75,0)</f>
        <v/>
      </c>
      <c r="W71" s="15" t="str">
        <f t="shared" si="9"/>
        <v/>
      </c>
      <c r="X71" s="23" t="str">
        <f>IF('Tanuló kiutazások'!B75&lt;&gt;"",'Tanuló kiutazások'!G75*'Tanuló kiutazások'!N75,"")</f>
        <v/>
      </c>
      <c r="Y71" s="23" t="str">
        <f>IF('Tanuló kiutazások'!B75&lt;&gt;"",('Tanuló kiutazások'!L75+'Tanuló kiutazások'!M75)*'Tanuló kiutazások'!K75,"")</f>
        <v/>
      </c>
      <c r="Z71" s="15" t="str">
        <f>IF('Munkatárs kiutazások'!B75&lt;&gt;"",'Munkatárs kiutazások'!G75*'Munkatárs kiutazások'!K75,"")</f>
        <v/>
      </c>
      <c r="AA71" s="15" t="str">
        <f>IF('Munkatárs kiutazások'!B75&lt;&gt;"",'Munkatárs kiutazások'!G75*'Munkatárs kiutazások'!J75,"")</f>
        <v/>
      </c>
    </row>
    <row r="72" spans="14:27" x14ac:dyDescent="0.25">
      <c r="N72" s="15" t="str">
        <f>IF(AND('Tanuló kiutazások'!AD76&lt;&gt;"",'Tanuló kiutazások'!AD76&gt;0),'Tanuló kiutazások'!D76,"")</f>
        <v/>
      </c>
      <c r="O72" s="15" t="str">
        <f>IF('Tanuló kiutazások'!B76&lt;&gt;"",IF('Tanuló kiutazások'!Z76="Jogosult igényelni",IF('Tanuló kiutazások'!AD76&gt;0,'Tanuló kiutazások'!AA76*'Tanuló kiutazások'!AD76*VLOOKUP('Tanuló kiutazások'!C76,Segédlet!$C$5:$G$37,4,0),0),0),"")</f>
        <v/>
      </c>
      <c r="P72" s="15" t="str">
        <f>IF('Tanuló kiutazások'!B76&lt;&gt;"",IF('Tanuló kiutazások'!Z76="Jogosult igényelni",IF('Tanuló kiutazások'!AD76&gt;0,1*'Tanuló kiutazások'!AD76*VLOOKUP('Tanuló kiutazások'!C76,Segédlet!$C$5:$G$37,4,0),0),0),"")</f>
        <v/>
      </c>
      <c r="Q72" s="15" t="str">
        <f>IF('Tanuló kiutazások'!B76&lt;&gt;"",IF(AND('Tanuló kiutazások'!Z76="Jogosult igényelni",'Tanuló kiutazások'!AD76&gt;0),'Tanuló kiutazások'!AA76,0),"")</f>
        <v/>
      </c>
      <c r="R72" s="15" t="str">
        <f>IF('Tanuló kiutazások'!B76&lt;&gt;"",IF(AND('Tanuló kiutazások'!Z76="Jogosult igényelni",'Tanuló kiutazások'!AD76&gt;0),1,0),"")</f>
        <v/>
      </c>
      <c r="S72" s="15" t="str">
        <f>IF('Tanuló kiutazások'!B76&lt;&gt;"",IF('Tanuló kiutazások'!Z76="Jogosult igényelni",IF(AND('Tanuló kiutazások'!AC76&gt;0,'Tanuló kiutazások'!AF76&gt;0),(1+'Tanuló kiutazások'!AA76-'Tanuló kiutazások'!AC76)*VLOOKUP('Tanuló kiutazások'!P76,$I$5:$J$12,2,0),IF('Tanuló kiutazások'!AD76&gt;0,(1+'Tanuló kiutazások'!AA76)*VLOOKUP('Tanuló kiutazások'!P76,$I$5:$J$12,2,0),0)),0),"")</f>
        <v/>
      </c>
      <c r="T72" s="15" t="str">
        <f t="shared" si="7"/>
        <v/>
      </c>
      <c r="U72" s="15" t="str">
        <f t="shared" si="8"/>
        <v/>
      </c>
      <c r="V72" s="15" t="str">
        <f>IF('Tanuló kiutazások'!AD76&gt;0,'Tanuló kiutazások'!AD76,0)</f>
        <v/>
      </c>
      <c r="W72" s="15" t="str">
        <f t="shared" si="9"/>
        <v/>
      </c>
      <c r="X72" s="23" t="str">
        <f>IF('Tanuló kiutazások'!B76&lt;&gt;"",'Tanuló kiutazások'!G76*'Tanuló kiutazások'!N76,"")</f>
        <v/>
      </c>
      <c r="Y72" s="23" t="str">
        <f>IF('Tanuló kiutazások'!B76&lt;&gt;"",('Tanuló kiutazások'!L76+'Tanuló kiutazások'!M76)*'Tanuló kiutazások'!K76,"")</f>
        <v/>
      </c>
      <c r="Z72" s="15" t="str">
        <f>IF('Munkatárs kiutazások'!B76&lt;&gt;"",'Munkatárs kiutazások'!G76*'Munkatárs kiutazások'!K76,"")</f>
        <v/>
      </c>
      <c r="AA72" s="15" t="str">
        <f>IF('Munkatárs kiutazások'!B76&lt;&gt;"",'Munkatárs kiutazások'!G76*'Munkatárs kiutazások'!J76,"")</f>
        <v/>
      </c>
    </row>
    <row r="73" spans="14:27" x14ac:dyDescent="0.25">
      <c r="N73" s="15" t="str">
        <f>IF(AND('Tanuló kiutazások'!AD77&lt;&gt;"",'Tanuló kiutazások'!AD77&gt;0),'Tanuló kiutazások'!D77,"")</f>
        <v/>
      </c>
      <c r="O73" s="15" t="str">
        <f>IF('Tanuló kiutazások'!B77&lt;&gt;"",IF('Tanuló kiutazások'!Z77="Jogosult igényelni",IF('Tanuló kiutazások'!AD77&gt;0,'Tanuló kiutazások'!AA77*'Tanuló kiutazások'!AD77*VLOOKUP('Tanuló kiutazások'!C77,Segédlet!$C$5:$G$37,4,0),0),0),"")</f>
        <v/>
      </c>
      <c r="P73" s="15" t="str">
        <f>IF('Tanuló kiutazások'!B77&lt;&gt;"",IF('Tanuló kiutazások'!Z77="Jogosult igényelni",IF('Tanuló kiutazások'!AD77&gt;0,1*'Tanuló kiutazások'!AD77*VLOOKUP('Tanuló kiutazások'!C77,Segédlet!$C$5:$G$37,4,0),0),0),"")</f>
        <v/>
      </c>
      <c r="Q73" s="15" t="str">
        <f>IF('Tanuló kiutazások'!B77&lt;&gt;"",IF(AND('Tanuló kiutazások'!Z77="Jogosult igényelni",'Tanuló kiutazások'!AD77&gt;0),'Tanuló kiutazások'!AA77,0),"")</f>
        <v/>
      </c>
      <c r="R73" s="15" t="str">
        <f>IF('Tanuló kiutazások'!B77&lt;&gt;"",IF(AND('Tanuló kiutazások'!Z77="Jogosult igényelni",'Tanuló kiutazások'!AD77&gt;0),1,0),"")</f>
        <v/>
      </c>
      <c r="S73" s="15" t="str">
        <f>IF('Tanuló kiutazások'!B77&lt;&gt;"",IF('Tanuló kiutazások'!Z77="Jogosult igényelni",IF(AND('Tanuló kiutazások'!AC77&gt;0,'Tanuló kiutazások'!AF77&gt;0),(1+'Tanuló kiutazások'!AA77-'Tanuló kiutazások'!AC77)*VLOOKUP('Tanuló kiutazások'!P77,$I$5:$J$12,2,0),IF('Tanuló kiutazások'!AD77&gt;0,(1+'Tanuló kiutazások'!AA77)*VLOOKUP('Tanuló kiutazások'!P77,$I$5:$J$12,2,0),0)),0),"")</f>
        <v/>
      </c>
      <c r="T73" s="15" t="str">
        <f t="shared" si="7"/>
        <v/>
      </c>
      <c r="U73" s="15" t="str">
        <f t="shared" si="8"/>
        <v/>
      </c>
      <c r="V73" s="15" t="str">
        <f>IF('Tanuló kiutazások'!AD77&gt;0,'Tanuló kiutazások'!AD77,0)</f>
        <v/>
      </c>
      <c r="W73" s="15" t="str">
        <f t="shared" si="9"/>
        <v/>
      </c>
      <c r="X73" s="23" t="str">
        <f>IF('Tanuló kiutazások'!B77&lt;&gt;"",'Tanuló kiutazások'!G77*'Tanuló kiutazások'!N77,"")</f>
        <v/>
      </c>
      <c r="Y73" s="23" t="str">
        <f>IF('Tanuló kiutazások'!B77&lt;&gt;"",('Tanuló kiutazások'!L77+'Tanuló kiutazások'!M77)*'Tanuló kiutazások'!K77,"")</f>
        <v/>
      </c>
      <c r="Z73" s="15" t="str">
        <f>IF('Munkatárs kiutazások'!B77&lt;&gt;"",'Munkatárs kiutazások'!G77*'Munkatárs kiutazások'!K77,"")</f>
        <v/>
      </c>
      <c r="AA73" s="15" t="str">
        <f>IF('Munkatárs kiutazások'!B77&lt;&gt;"",'Munkatárs kiutazások'!G77*'Munkatárs kiutazások'!J77,"")</f>
        <v/>
      </c>
    </row>
    <row r="74" spans="14:27" x14ac:dyDescent="0.25">
      <c r="N74" s="15" t="str">
        <f>IF(AND('Tanuló kiutazások'!AD78&lt;&gt;"",'Tanuló kiutazások'!AD78&gt;0),'Tanuló kiutazások'!D78,"")</f>
        <v/>
      </c>
      <c r="O74" s="15" t="str">
        <f>IF('Tanuló kiutazások'!B78&lt;&gt;"",IF('Tanuló kiutazások'!Z78="Jogosult igényelni",IF('Tanuló kiutazások'!AD78&gt;0,'Tanuló kiutazások'!AA78*'Tanuló kiutazások'!AD78*VLOOKUP('Tanuló kiutazások'!C78,Segédlet!$C$5:$G$37,4,0),0),0),"")</f>
        <v/>
      </c>
      <c r="P74" s="15" t="str">
        <f>IF('Tanuló kiutazások'!B78&lt;&gt;"",IF('Tanuló kiutazások'!Z78="Jogosult igényelni",IF('Tanuló kiutazások'!AD78&gt;0,1*'Tanuló kiutazások'!AD78*VLOOKUP('Tanuló kiutazások'!C78,Segédlet!$C$5:$G$37,4,0),0),0),"")</f>
        <v/>
      </c>
      <c r="Q74" s="15" t="str">
        <f>IF('Tanuló kiutazások'!B78&lt;&gt;"",IF(AND('Tanuló kiutazások'!Z78="Jogosult igényelni",'Tanuló kiutazások'!AD78&gt;0),'Tanuló kiutazások'!AA78,0),"")</f>
        <v/>
      </c>
      <c r="R74" s="15" t="str">
        <f>IF('Tanuló kiutazások'!B78&lt;&gt;"",IF(AND('Tanuló kiutazások'!Z78="Jogosult igényelni",'Tanuló kiutazások'!AD78&gt;0),1,0),"")</f>
        <v/>
      </c>
      <c r="S74" s="15" t="str">
        <f>IF('Tanuló kiutazások'!B78&lt;&gt;"",IF('Tanuló kiutazások'!Z78="Jogosult igényelni",IF(AND('Tanuló kiutazások'!AC78&gt;0,'Tanuló kiutazások'!AF78&gt;0),(1+'Tanuló kiutazások'!AA78-'Tanuló kiutazások'!AC78)*VLOOKUP('Tanuló kiutazások'!P78,$I$5:$J$12,2,0),IF('Tanuló kiutazások'!AD78&gt;0,(1+'Tanuló kiutazások'!AA78)*VLOOKUP('Tanuló kiutazások'!P78,$I$5:$J$12,2,0),0)),0),"")</f>
        <v/>
      </c>
      <c r="T74" s="15" t="str">
        <f t="shared" si="7"/>
        <v/>
      </c>
      <c r="U74" s="15" t="str">
        <f t="shared" si="8"/>
        <v/>
      </c>
      <c r="V74" s="15" t="str">
        <f>IF('Tanuló kiutazások'!AD78&gt;0,'Tanuló kiutazások'!AD78,0)</f>
        <v/>
      </c>
      <c r="W74" s="15" t="str">
        <f t="shared" si="9"/>
        <v/>
      </c>
      <c r="X74" s="23" t="str">
        <f>IF('Tanuló kiutazások'!B78&lt;&gt;"",'Tanuló kiutazások'!G78*'Tanuló kiutazások'!N78,"")</f>
        <v/>
      </c>
      <c r="Y74" s="23" t="str">
        <f>IF('Tanuló kiutazások'!B78&lt;&gt;"",('Tanuló kiutazások'!L78+'Tanuló kiutazások'!M78)*'Tanuló kiutazások'!K78,"")</f>
        <v/>
      </c>
      <c r="Z74" s="15" t="str">
        <f>IF('Munkatárs kiutazások'!B78&lt;&gt;"",'Munkatárs kiutazások'!G78*'Munkatárs kiutazások'!K78,"")</f>
        <v/>
      </c>
      <c r="AA74" s="15" t="str">
        <f>IF('Munkatárs kiutazások'!B78&lt;&gt;"",'Munkatárs kiutazások'!G78*'Munkatárs kiutazások'!J78,"")</f>
        <v/>
      </c>
    </row>
    <row r="75" spans="14:27" x14ac:dyDescent="0.25">
      <c r="N75" s="15" t="str">
        <f>IF(AND('Tanuló kiutazások'!AD79&lt;&gt;"",'Tanuló kiutazások'!AD79&gt;0),'Tanuló kiutazások'!D79,"")</f>
        <v/>
      </c>
      <c r="O75" s="15" t="str">
        <f>IF('Tanuló kiutazások'!B79&lt;&gt;"",IF('Tanuló kiutazások'!Z79="Jogosult igényelni",IF('Tanuló kiutazások'!AD79&gt;0,'Tanuló kiutazások'!AA79*'Tanuló kiutazások'!AD79*VLOOKUP('Tanuló kiutazások'!C79,Segédlet!$C$5:$G$37,4,0),0),0),"")</f>
        <v/>
      </c>
      <c r="P75" s="15" t="str">
        <f>IF('Tanuló kiutazások'!B79&lt;&gt;"",IF('Tanuló kiutazások'!Z79="Jogosult igényelni",IF('Tanuló kiutazások'!AD79&gt;0,1*'Tanuló kiutazások'!AD79*VLOOKUP('Tanuló kiutazások'!C79,Segédlet!$C$5:$G$37,4,0),0),0),"")</f>
        <v/>
      </c>
      <c r="Q75" s="15" t="str">
        <f>IF('Tanuló kiutazások'!B79&lt;&gt;"",IF(AND('Tanuló kiutazások'!Z79="Jogosult igényelni",'Tanuló kiutazások'!AD79&gt;0),'Tanuló kiutazások'!AA79,0),"")</f>
        <v/>
      </c>
      <c r="R75" s="15" t="str">
        <f>IF('Tanuló kiutazások'!B79&lt;&gt;"",IF(AND('Tanuló kiutazások'!Z79="Jogosult igényelni",'Tanuló kiutazások'!AD79&gt;0),1,0),"")</f>
        <v/>
      </c>
      <c r="S75" s="15" t="str">
        <f>IF('Tanuló kiutazások'!B79&lt;&gt;"",IF('Tanuló kiutazások'!Z79="Jogosult igényelni",IF(AND('Tanuló kiutazások'!AC79&gt;0,'Tanuló kiutazások'!AF79&gt;0),(1+'Tanuló kiutazások'!AA79-'Tanuló kiutazások'!AC79)*VLOOKUP('Tanuló kiutazások'!P79,$I$5:$J$12,2,0),IF('Tanuló kiutazások'!AD79&gt;0,(1+'Tanuló kiutazások'!AA79)*VLOOKUP('Tanuló kiutazások'!P79,$I$5:$J$12,2,0),0)),0),"")</f>
        <v/>
      </c>
      <c r="T75" s="15" t="str">
        <f t="shared" si="7"/>
        <v/>
      </c>
      <c r="U75" s="15" t="str">
        <f t="shared" si="8"/>
        <v/>
      </c>
      <c r="V75" s="15" t="str">
        <f>IF('Tanuló kiutazások'!AD79&gt;0,'Tanuló kiutazások'!AD79,0)</f>
        <v/>
      </c>
      <c r="W75" s="15" t="str">
        <f t="shared" si="9"/>
        <v/>
      </c>
      <c r="X75" s="23" t="str">
        <f>IF('Tanuló kiutazások'!B79&lt;&gt;"",'Tanuló kiutazások'!G79*'Tanuló kiutazások'!N79,"")</f>
        <v/>
      </c>
      <c r="Y75" s="23" t="str">
        <f>IF('Tanuló kiutazások'!B79&lt;&gt;"",('Tanuló kiutazások'!L79+'Tanuló kiutazások'!M79)*'Tanuló kiutazások'!K79,"")</f>
        <v/>
      </c>
      <c r="Z75" s="15" t="str">
        <f>IF('Munkatárs kiutazások'!B79&lt;&gt;"",'Munkatárs kiutazások'!G79*'Munkatárs kiutazások'!K79,"")</f>
        <v/>
      </c>
      <c r="AA75" s="15" t="str">
        <f>IF('Munkatárs kiutazások'!B79&lt;&gt;"",'Munkatárs kiutazások'!G79*'Munkatárs kiutazások'!J79,"")</f>
        <v/>
      </c>
    </row>
    <row r="76" spans="14:27" x14ac:dyDescent="0.25">
      <c r="N76" s="15" t="str">
        <f>IF(AND('Tanuló kiutazások'!AD80&lt;&gt;"",'Tanuló kiutazások'!AD80&gt;0),'Tanuló kiutazások'!D80,"")</f>
        <v/>
      </c>
      <c r="O76" s="15" t="str">
        <f>IF('Tanuló kiutazások'!B80&lt;&gt;"",IF('Tanuló kiutazások'!Z80="Jogosult igényelni",IF('Tanuló kiutazások'!AD80&gt;0,'Tanuló kiutazások'!AA80*'Tanuló kiutazások'!AD80*VLOOKUP('Tanuló kiutazások'!C80,Segédlet!$C$5:$G$37,4,0),0),0),"")</f>
        <v/>
      </c>
      <c r="P76" s="15" t="str">
        <f>IF('Tanuló kiutazások'!B80&lt;&gt;"",IF('Tanuló kiutazások'!Z80="Jogosult igényelni",IF('Tanuló kiutazások'!AD80&gt;0,1*'Tanuló kiutazások'!AD80*VLOOKUP('Tanuló kiutazások'!C80,Segédlet!$C$5:$G$37,4,0),0),0),"")</f>
        <v/>
      </c>
      <c r="Q76" s="15" t="str">
        <f>IF('Tanuló kiutazások'!B80&lt;&gt;"",IF(AND('Tanuló kiutazások'!Z80="Jogosult igényelni",'Tanuló kiutazások'!AD80&gt;0),'Tanuló kiutazások'!AA80,0),"")</f>
        <v/>
      </c>
      <c r="R76" s="15" t="str">
        <f>IF('Tanuló kiutazások'!B80&lt;&gt;"",IF(AND('Tanuló kiutazások'!Z80="Jogosult igényelni",'Tanuló kiutazások'!AD80&gt;0),1,0),"")</f>
        <v/>
      </c>
      <c r="S76" s="15" t="str">
        <f>IF('Tanuló kiutazások'!B80&lt;&gt;"",IF('Tanuló kiutazások'!Z80="Jogosult igényelni",IF(AND('Tanuló kiutazások'!AC80&gt;0,'Tanuló kiutazások'!AF80&gt;0),(1+'Tanuló kiutazások'!AA80-'Tanuló kiutazások'!AC80)*VLOOKUP('Tanuló kiutazások'!P80,$I$5:$J$12,2,0),IF('Tanuló kiutazások'!AD80&gt;0,(1+'Tanuló kiutazások'!AA80)*VLOOKUP('Tanuló kiutazások'!P80,$I$5:$J$12,2,0),0)),0),"")</f>
        <v/>
      </c>
      <c r="T76" s="15" t="str">
        <f t="shared" si="7"/>
        <v/>
      </c>
      <c r="U76" s="15" t="str">
        <f t="shared" si="8"/>
        <v/>
      </c>
      <c r="V76" s="15" t="str">
        <f>IF('Tanuló kiutazások'!AD80&gt;0,'Tanuló kiutazások'!AD80,0)</f>
        <v/>
      </c>
      <c r="W76" s="15" t="str">
        <f t="shared" si="9"/>
        <v/>
      </c>
      <c r="X76" s="23" t="str">
        <f>IF('Tanuló kiutazások'!B80&lt;&gt;"",'Tanuló kiutazások'!G80*'Tanuló kiutazások'!N80,"")</f>
        <v/>
      </c>
      <c r="Y76" s="23" t="str">
        <f>IF('Tanuló kiutazások'!B80&lt;&gt;"",('Tanuló kiutazások'!L80+'Tanuló kiutazások'!M80)*'Tanuló kiutazások'!K80,"")</f>
        <v/>
      </c>
      <c r="Z76" s="15" t="str">
        <f>IF('Munkatárs kiutazások'!B80&lt;&gt;"",'Munkatárs kiutazások'!G80*'Munkatárs kiutazások'!K80,"")</f>
        <v/>
      </c>
      <c r="AA76" s="15" t="str">
        <f>IF('Munkatárs kiutazások'!B80&lt;&gt;"",'Munkatárs kiutazások'!G80*'Munkatárs kiutazások'!J80,"")</f>
        <v/>
      </c>
    </row>
    <row r="77" spans="14:27" x14ac:dyDescent="0.25">
      <c r="N77" s="15" t="str">
        <f>IF(AND('Tanuló kiutazások'!AD81&lt;&gt;"",'Tanuló kiutazások'!AD81&gt;0),'Tanuló kiutazások'!D81,"")</f>
        <v/>
      </c>
      <c r="O77" s="15" t="str">
        <f>IF('Tanuló kiutazások'!B81&lt;&gt;"",IF('Tanuló kiutazások'!Z81="Jogosult igényelni",IF('Tanuló kiutazások'!AD81&gt;0,'Tanuló kiutazások'!AA81*'Tanuló kiutazások'!AD81*VLOOKUP('Tanuló kiutazások'!C81,Segédlet!$C$5:$G$37,4,0),0),0),"")</f>
        <v/>
      </c>
      <c r="P77" s="15" t="str">
        <f>IF('Tanuló kiutazások'!B81&lt;&gt;"",IF('Tanuló kiutazások'!Z81="Jogosult igényelni",IF('Tanuló kiutazások'!AD81&gt;0,1*'Tanuló kiutazások'!AD81*VLOOKUP('Tanuló kiutazások'!C81,Segédlet!$C$5:$G$37,4,0),0),0),"")</f>
        <v/>
      </c>
      <c r="Q77" s="15" t="str">
        <f>IF('Tanuló kiutazások'!B81&lt;&gt;"",IF(AND('Tanuló kiutazások'!Z81="Jogosult igényelni",'Tanuló kiutazások'!AD81&gt;0),'Tanuló kiutazások'!AA81,0),"")</f>
        <v/>
      </c>
      <c r="R77" s="15" t="str">
        <f>IF('Tanuló kiutazások'!B81&lt;&gt;"",IF(AND('Tanuló kiutazások'!Z81="Jogosult igényelni",'Tanuló kiutazások'!AD81&gt;0),1,0),"")</f>
        <v/>
      </c>
      <c r="S77" s="15" t="str">
        <f>IF('Tanuló kiutazások'!B81&lt;&gt;"",IF('Tanuló kiutazások'!Z81="Jogosult igényelni",IF(AND('Tanuló kiutazások'!AC81&gt;0,'Tanuló kiutazások'!AF81&gt;0),(1+'Tanuló kiutazások'!AA81-'Tanuló kiutazások'!AC81)*VLOOKUP('Tanuló kiutazások'!P81,$I$5:$J$12,2,0),IF('Tanuló kiutazások'!AD81&gt;0,(1+'Tanuló kiutazások'!AA81)*VLOOKUP('Tanuló kiutazások'!P81,$I$5:$J$12,2,0),0)),0),"")</f>
        <v/>
      </c>
      <c r="T77" s="15" t="str">
        <f t="shared" si="7"/>
        <v/>
      </c>
      <c r="U77" s="15" t="str">
        <f t="shared" si="8"/>
        <v/>
      </c>
      <c r="V77" s="15" t="str">
        <f>IF('Tanuló kiutazások'!AD81&gt;0,'Tanuló kiutazások'!AD81,0)</f>
        <v/>
      </c>
      <c r="W77" s="15" t="str">
        <f t="shared" si="9"/>
        <v/>
      </c>
      <c r="X77" s="23" t="str">
        <f>IF('Tanuló kiutazások'!B81&lt;&gt;"",'Tanuló kiutazások'!G81*'Tanuló kiutazások'!N81,"")</f>
        <v/>
      </c>
      <c r="Y77" s="23" t="str">
        <f>IF('Tanuló kiutazások'!B81&lt;&gt;"",('Tanuló kiutazások'!L81+'Tanuló kiutazások'!M81)*'Tanuló kiutazások'!K81,"")</f>
        <v/>
      </c>
      <c r="Z77" s="15" t="str">
        <f>IF('Munkatárs kiutazások'!B81&lt;&gt;"",'Munkatárs kiutazások'!G81*'Munkatárs kiutazások'!K81,"")</f>
        <v/>
      </c>
      <c r="AA77" s="15" t="str">
        <f>IF('Munkatárs kiutazások'!B81&lt;&gt;"",'Munkatárs kiutazások'!G81*'Munkatárs kiutazások'!J81,"")</f>
        <v/>
      </c>
    </row>
    <row r="78" spans="14:27" x14ac:dyDescent="0.25">
      <c r="N78" s="15" t="str">
        <f>IF(AND('Tanuló kiutazások'!AD82&lt;&gt;"",'Tanuló kiutazások'!AD82&gt;0),'Tanuló kiutazások'!D82,"")</f>
        <v/>
      </c>
      <c r="O78" s="15" t="str">
        <f>IF('Tanuló kiutazások'!B82&lt;&gt;"",IF('Tanuló kiutazások'!Z82="Jogosult igényelni",IF('Tanuló kiutazások'!AD82&gt;0,'Tanuló kiutazások'!AA82*'Tanuló kiutazások'!AD82*VLOOKUP('Tanuló kiutazások'!C82,Segédlet!$C$5:$G$37,4,0),0),0),"")</f>
        <v/>
      </c>
      <c r="P78" s="15" t="str">
        <f>IF('Tanuló kiutazások'!B82&lt;&gt;"",IF('Tanuló kiutazások'!Z82="Jogosult igényelni",IF('Tanuló kiutazások'!AD82&gt;0,1*'Tanuló kiutazások'!AD82*VLOOKUP('Tanuló kiutazások'!C82,Segédlet!$C$5:$G$37,4,0),0),0),"")</f>
        <v/>
      </c>
      <c r="Q78" s="15" t="str">
        <f>IF('Tanuló kiutazások'!B82&lt;&gt;"",IF(AND('Tanuló kiutazások'!Z82="Jogosult igényelni",'Tanuló kiutazások'!AD82&gt;0),'Tanuló kiutazások'!AA82,0),"")</f>
        <v/>
      </c>
      <c r="R78" s="15" t="str">
        <f>IF('Tanuló kiutazások'!B82&lt;&gt;"",IF(AND('Tanuló kiutazások'!Z82="Jogosult igényelni",'Tanuló kiutazások'!AD82&gt;0),1,0),"")</f>
        <v/>
      </c>
      <c r="S78" s="15" t="str">
        <f>IF('Tanuló kiutazások'!B82&lt;&gt;"",IF('Tanuló kiutazások'!Z82="Jogosult igényelni",IF(AND('Tanuló kiutazások'!AC82&gt;0,'Tanuló kiutazások'!AF82&gt;0),(1+'Tanuló kiutazások'!AA82-'Tanuló kiutazások'!AC82)*VLOOKUP('Tanuló kiutazások'!P82,$I$5:$J$12,2,0),IF('Tanuló kiutazások'!AD82&gt;0,(1+'Tanuló kiutazások'!AA82)*VLOOKUP('Tanuló kiutazások'!P82,$I$5:$J$12,2,0),0)),0),"")</f>
        <v/>
      </c>
      <c r="T78" s="15" t="str">
        <f t="shared" si="7"/>
        <v/>
      </c>
      <c r="U78" s="15" t="str">
        <f t="shared" si="8"/>
        <v/>
      </c>
      <c r="V78" s="15" t="str">
        <f>IF('Tanuló kiutazások'!AD82&gt;0,'Tanuló kiutazások'!AD82,0)</f>
        <v/>
      </c>
      <c r="W78" s="15" t="str">
        <f t="shared" si="9"/>
        <v/>
      </c>
      <c r="X78" s="23" t="str">
        <f>IF('Tanuló kiutazások'!B82&lt;&gt;"",'Tanuló kiutazások'!G82*'Tanuló kiutazások'!N82,"")</f>
        <v/>
      </c>
      <c r="Y78" s="23" t="str">
        <f>IF('Tanuló kiutazások'!B82&lt;&gt;"",('Tanuló kiutazások'!L82+'Tanuló kiutazások'!M82)*'Tanuló kiutazások'!K82,"")</f>
        <v/>
      </c>
      <c r="Z78" s="15" t="str">
        <f>IF('Munkatárs kiutazások'!B82&lt;&gt;"",'Munkatárs kiutazások'!G82*'Munkatárs kiutazások'!K82,"")</f>
        <v/>
      </c>
      <c r="AA78" s="15" t="str">
        <f>IF('Munkatárs kiutazások'!B82&lt;&gt;"",'Munkatárs kiutazások'!G82*'Munkatárs kiutazások'!J82,"")</f>
        <v/>
      </c>
    </row>
    <row r="79" spans="14:27" x14ac:dyDescent="0.25">
      <c r="N79" s="15" t="str">
        <f>IF(AND('Tanuló kiutazások'!AD83&lt;&gt;"",'Tanuló kiutazások'!AD83&gt;0),'Tanuló kiutazások'!D83,"")</f>
        <v/>
      </c>
      <c r="O79" s="15" t="str">
        <f>IF('Tanuló kiutazások'!B83&lt;&gt;"",IF('Tanuló kiutazások'!Z83="Jogosult igényelni",IF('Tanuló kiutazások'!AD83&gt;0,'Tanuló kiutazások'!AA83*'Tanuló kiutazások'!AD83*VLOOKUP('Tanuló kiutazások'!C83,Segédlet!$C$5:$G$37,4,0),0),0),"")</f>
        <v/>
      </c>
      <c r="P79" s="15" t="str">
        <f>IF('Tanuló kiutazások'!B83&lt;&gt;"",IF('Tanuló kiutazások'!Z83="Jogosult igényelni",IF('Tanuló kiutazások'!AD83&gt;0,1*'Tanuló kiutazások'!AD83*VLOOKUP('Tanuló kiutazások'!C83,Segédlet!$C$5:$G$37,4,0),0),0),"")</f>
        <v/>
      </c>
      <c r="Q79" s="15" t="str">
        <f>IF('Tanuló kiutazások'!B83&lt;&gt;"",IF(AND('Tanuló kiutazások'!Z83="Jogosult igényelni",'Tanuló kiutazások'!AD83&gt;0),'Tanuló kiutazások'!AA83,0),"")</f>
        <v/>
      </c>
      <c r="R79" s="15" t="str">
        <f>IF('Tanuló kiutazások'!B83&lt;&gt;"",IF(AND('Tanuló kiutazások'!Z83="Jogosult igényelni",'Tanuló kiutazások'!AD83&gt;0),1,0),"")</f>
        <v/>
      </c>
      <c r="S79" s="15" t="str">
        <f>IF('Tanuló kiutazások'!B83&lt;&gt;"",IF('Tanuló kiutazások'!Z83="Jogosult igényelni",IF(AND('Tanuló kiutazások'!AC83&gt;0,'Tanuló kiutazások'!AF83&gt;0),(1+'Tanuló kiutazások'!AA83-'Tanuló kiutazások'!AC83)*VLOOKUP('Tanuló kiutazások'!P83,$I$5:$J$12,2,0),IF('Tanuló kiutazások'!AD83&gt;0,(1+'Tanuló kiutazások'!AA83)*VLOOKUP('Tanuló kiutazások'!P83,$I$5:$J$12,2,0),0)),0),"")</f>
        <v/>
      </c>
      <c r="T79" s="15" t="str">
        <f t="shared" si="7"/>
        <v/>
      </c>
      <c r="U79" s="15" t="str">
        <f t="shared" si="8"/>
        <v/>
      </c>
      <c r="V79" s="15" t="str">
        <f>IF('Tanuló kiutazások'!AD83&gt;0,'Tanuló kiutazások'!AD83,0)</f>
        <v/>
      </c>
      <c r="W79" s="15" t="str">
        <f t="shared" si="9"/>
        <v/>
      </c>
      <c r="X79" s="23" t="str">
        <f>IF('Tanuló kiutazások'!B83&lt;&gt;"",'Tanuló kiutazások'!G83*'Tanuló kiutazások'!N83,"")</f>
        <v/>
      </c>
      <c r="Y79" s="23" t="str">
        <f>IF('Tanuló kiutazások'!B83&lt;&gt;"",('Tanuló kiutazások'!L83+'Tanuló kiutazások'!M83)*'Tanuló kiutazások'!K83,"")</f>
        <v/>
      </c>
      <c r="Z79" s="15" t="str">
        <f>IF('Munkatárs kiutazások'!B83&lt;&gt;"",'Munkatárs kiutazások'!G83*'Munkatárs kiutazások'!K83,"")</f>
        <v/>
      </c>
      <c r="AA79" s="15" t="str">
        <f>IF('Munkatárs kiutazások'!B83&lt;&gt;"",'Munkatárs kiutazások'!G83*'Munkatárs kiutazások'!J83,"")</f>
        <v/>
      </c>
    </row>
    <row r="80" spans="14:27" x14ac:dyDescent="0.25">
      <c r="N80" s="15" t="str">
        <f>IF(AND('Tanuló kiutazások'!AD84&lt;&gt;"",'Tanuló kiutazások'!AD84&gt;0),'Tanuló kiutazások'!D84,"")</f>
        <v/>
      </c>
      <c r="O80" s="15" t="str">
        <f>IF('Tanuló kiutazások'!B84&lt;&gt;"",IF('Tanuló kiutazások'!Z84="Jogosult igényelni",IF('Tanuló kiutazások'!AD84&gt;0,'Tanuló kiutazások'!AA84*'Tanuló kiutazások'!AD84*VLOOKUP('Tanuló kiutazások'!C84,Segédlet!$C$5:$G$37,4,0),0),0),"")</f>
        <v/>
      </c>
      <c r="P80" s="15" t="str">
        <f>IF('Tanuló kiutazások'!B84&lt;&gt;"",IF('Tanuló kiutazások'!Z84="Jogosult igényelni",IF('Tanuló kiutazások'!AD84&gt;0,1*'Tanuló kiutazások'!AD84*VLOOKUP('Tanuló kiutazások'!C84,Segédlet!$C$5:$G$37,4,0),0),0),"")</f>
        <v/>
      </c>
      <c r="Q80" s="15" t="str">
        <f>IF('Tanuló kiutazások'!B84&lt;&gt;"",IF(AND('Tanuló kiutazások'!Z84="Jogosult igényelni",'Tanuló kiutazások'!AD84&gt;0),'Tanuló kiutazások'!AA84,0),"")</f>
        <v/>
      </c>
      <c r="R80" s="15" t="str">
        <f>IF('Tanuló kiutazások'!B84&lt;&gt;"",IF(AND('Tanuló kiutazások'!Z84="Jogosult igényelni",'Tanuló kiutazások'!AD84&gt;0),1,0),"")</f>
        <v/>
      </c>
      <c r="S80" s="15" t="str">
        <f>IF('Tanuló kiutazások'!B84&lt;&gt;"",IF('Tanuló kiutazások'!Z84="Jogosult igényelni",IF(AND('Tanuló kiutazások'!AC84&gt;0,'Tanuló kiutazások'!AF84&gt;0),(1+'Tanuló kiutazások'!AA84-'Tanuló kiutazások'!AC84)*VLOOKUP('Tanuló kiutazások'!P84,$I$5:$J$12,2,0),IF('Tanuló kiutazások'!AD84&gt;0,(1+'Tanuló kiutazások'!AA84)*VLOOKUP('Tanuló kiutazások'!P84,$I$5:$J$12,2,0),0)),0),"")</f>
        <v/>
      </c>
      <c r="T80" s="15" t="str">
        <f t="shared" si="7"/>
        <v/>
      </c>
      <c r="U80" s="15" t="str">
        <f t="shared" si="8"/>
        <v/>
      </c>
      <c r="V80" s="15" t="str">
        <f>IF('Tanuló kiutazások'!AD84&gt;0,'Tanuló kiutazások'!AD84,0)</f>
        <v/>
      </c>
      <c r="W80" s="15" t="str">
        <f t="shared" si="9"/>
        <v/>
      </c>
      <c r="X80" s="23" t="str">
        <f>IF('Tanuló kiutazások'!B84&lt;&gt;"",'Tanuló kiutazások'!G84*'Tanuló kiutazások'!N84,"")</f>
        <v/>
      </c>
      <c r="Y80" s="23" t="str">
        <f>IF('Tanuló kiutazások'!B84&lt;&gt;"",('Tanuló kiutazások'!L84+'Tanuló kiutazások'!M84)*'Tanuló kiutazások'!K84,"")</f>
        <v/>
      </c>
      <c r="Z80" s="15" t="str">
        <f>IF('Munkatárs kiutazások'!B84&lt;&gt;"",'Munkatárs kiutazások'!G84*'Munkatárs kiutazások'!K84,"")</f>
        <v/>
      </c>
      <c r="AA80" s="15" t="str">
        <f>IF('Munkatárs kiutazások'!B84&lt;&gt;"",'Munkatárs kiutazások'!G84*'Munkatárs kiutazások'!J84,"")</f>
        <v/>
      </c>
    </row>
    <row r="81" spans="14:27" x14ac:dyDescent="0.25">
      <c r="N81" s="15" t="str">
        <f>IF(AND('Tanuló kiutazások'!AD85&lt;&gt;"",'Tanuló kiutazások'!AD85&gt;0),'Tanuló kiutazások'!D85,"")</f>
        <v/>
      </c>
      <c r="O81" s="15" t="str">
        <f>IF('Tanuló kiutazások'!B85&lt;&gt;"",IF('Tanuló kiutazások'!Z85="Jogosult igényelni",IF('Tanuló kiutazások'!AD85&gt;0,'Tanuló kiutazások'!AA85*'Tanuló kiutazások'!AD85*VLOOKUP('Tanuló kiutazások'!C85,Segédlet!$C$5:$G$37,4,0),0),0),"")</f>
        <v/>
      </c>
      <c r="P81" s="15" t="str">
        <f>IF('Tanuló kiutazások'!B85&lt;&gt;"",IF('Tanuló kiutazások'!Z85="Jogosult igényelni",IF('Tanuló kiutazások'!AD85&gt;0,1*'Tanuló kiutazások'!AD85*VLOOKUP('Tanuló kiutazások'!C85,Segédlet!$C$5:$G$37,4,0),0),0),"")</f>
        <v/>
      </c>
      <c r="Q81" s="15" t="str">
        <f>IF('Tanuló kiutazások'!B85&lt;&gt;"",IF(AND('Tanuló kiutazások'!Z85="Jogosult igényelni",'Tanuló kiutazások'!AD85&gt;0),'Tanuló kiutazások'!AA85,0),"")</f>
        <v/>
      </c>
      <c r="R81" s="15" t="str">
        <f>IF('Tanuló kiutazások'!B85&lt;&gt;"",IF(AND('Tanuló kiutazások'!Z85="Jogosult igényelni",'Tanuló kiutazások'!AD85&gt;0),1,0),"")</f>
        <v/>
      </c>
      <c r="S81" s="15" t="str">
        <f>IF('Tanuló kiutazások'!B85&lt;&gt;"",IF('Tanuló kiutazások'!Z85="Jogosult igényelni",IF(AND('Tanuló kiutazások'!AC85&gt;0,'Tanuló kiutazások'!AF85&gt;0),(1+'Tanuló kiutazások'!AA85-'Tanuló kiutazások'!AC85)*VLOOKUP('Tanuló kiutazások'!P85,$I$5:$J$12,2,0),IF('Tanuló kiutazások'!AD85&gt;0,(1+'Tanuló kiutazások'!AA85)*VLOOKUP('Tanuló kiutazások'!P85,$I$5:$J$12,2,0),0)),0),"")</f>
        <v/>
      </c>
      <c r="T81" s="15" t="str">
        <f t="shared" si="7"/>
        <v/>
      </c>
      <c r="U81" s="15" t="str">
        <f t="shared" si="8"/>
        <v/>
      </c>
      <c r="V81" s="15" t="str">
        <f>IF('Tanuló kiutazások'!AD85&gt;0,'Tanuló kiutazások'!AD85,0)</f>
        <v/>
      </c>
      <c r="W81" s="15" t="str">
        <f t="shared" si="9"/>
        <v/>
      </c>
      <c r="X81" s="23" t="str">
        <f>IF('Tanuló kiutazások'!B85&lt;&gt;"",'Tanuló kiutazások'!G85*'Tanuló kiutazások'!N85,"")</f>
        <v/>
      </c>
      <c r="Y81" s="23" t="str">
        <f>IF('Tanuló kiutazások'!B85&lt;&gt;"",('Tanuló kiutazások'!L85+'Tanuló kiutazások'!M85)*'Tanuló kiutazások'!K85,"")</f>
        <v/>
      </c>
      <c r="Z81" s="15" t="str">
        <f>IF('Munkatárs kiutazások'!B85&lt;&gt;"",'Munkatárs kiutazások'!G85*'Munkatárs kiutazások'!K85,"")</f>
        <v/>
      </c>
      <c r="AA81" s="15" t="str">
        <f>IF('Munkatárs kiutazások'!B85&lt;&gt;"",'Munkatárs kiutazások'!G85*'Munkatárs kiutazások'!J85,"")</f>
        <v/>
      </c>
    </row>
    <row r="82" spans="14:27" x14ac:dyDescent="0.25">
      <c r="N82" s="15" t="str">
        <f>IF(AND('Tanuló kiutazások'!AD86&lt;&gt;"",'Tanuló kiutazások'!AD86&gt;0),'Tanuló kiutazások'!D86,"")</f>
        <v/>
      </c>
      <c r="O82" s="15" t="str">
        <f>IF('Tanuló kiutazások'!B86&lt;&gt;"",IF('Tanuló kiutazások'!Z86="Jogosult igényelni",IF('Tanuló kiutazások'!AD86&gt;0,'Tanuló kiutazások'!AA86*'Tanuló kiutazások'!AD86*VLOOKUP('Tanuló kiutazások'!C86,Segédlet!$C$5:$G$37,4,0),0),0),"")</f>
        <v/>
      </c>
      <c r="P82" s="15" t="str">
        <f>IF('Tanuló kiutazások'!B86&lt;&gt;"",IF('Tanuló kiutazások'!Z86="Jogosult igényelni",IF('Tanuló kiutazások'!AD86&gt;0,1*'Tanuló kiutazások'!AD86*VLOOKUP('Tanuló kiutazások'!C86,Segédlet!$C$5:$G$37,4,0),0),0),"")</f>
        <v/>
      </c>
      <c r="Q82" s="15" t="str">
        <f>IF('Tanuló kiutazások'!B86&lt;&gt;"",IF(AND('Tanuló kiutazások'!Z86="Jogosult igényelni",'Tanuló kiutazások'!AD86&gt;0),'Tanuló kiutazások'!AA86,0),"")</f>
        <v/>
      </c>
      <c r="R82" s="15" t="str">
        <f>IF('Tanuló kiutazások'!B86&lt;&gt;"",IF(AND('Tanuló kiutazások'!Z86="Jogosult igényelni",'Tanuló kiutazások'!AD86&gt;0),1,0),"")</f>
        <v/>
      </c>
      <c r="S82" s="15" t="str">
        <f>IF('Tanuló kiutazások'!B86&lt;&gt;"",IF('Tanuló kiutazások'!Z86="Jogosult igényelni",IF(AND('Tanuló kiutazások'!AC86&gt;0,'Tanuló kiutazások'!AF86&gt;0),(1+'Tanuló kiutazások'!AA86-'Tanuló kiutazások'!AC86)*VLOOKUP('Tanuló kiutazások'!P86,$I$5:$J$12,2,0),IF('Tanuló kiutazások'!AD86&gt;0,(1+'Tanuló kiutazások'!AA86)*VLOOKUP('Tanuló kiutazások'!P86,$I$5:$J$12,2,0),0)),0),"")</f>
        <v/>
      </c>
      <c r="T82" s="15" t="str">
        <f t="shared" si="7"/>
        <v/>
      </c>
      <c r="U82" s="15" t="str">
        <f t="shared" si="8"/>
        <v/>
      </c>
      <c r="V82" s="15" t="str">
        <f>IF('Tanuló kiutazások'!AD86&gt;0,'Tanuló kiutazások'!AD86,0)</f>
        <v/>
      </c>
      <c r="W82" s="15" t="str">
        <f t="shared" si="9"/>
        <v/>
      </c>
      <c r="X82" s="23" t="str">
        <f>IF('Tanuló kiutazások'!B86&lt;&gt;"",'Tanuló kiutazások'!G86*'Tanuló kiutazások'!N86,"")</f>
        <v/>
      </c>
      <c r="Y82" s="23" t="str">
        <f>IF('Tanuló kiutazások'!B86&lt;&gt;"",('Tanuló kiutazások'!L86+'Tanuló kiutazások'!M86)*'Tanuló kiutazások'!K86,"")</f>
        <v/>
      </c>
      <c r="Z82" s="15" t="str">
        <f>IF('Munkatárs kiutazások'!B86&lt;&gt;"",'Munkatárs kiutazások'!G86*'Munkatárs kiutazások'!K86,"")</f>
        <v/>
      </c>
      <c r="AA82" s="15" t="str">
        <f>IF('Munkatárs kiutazások'!B86&lt;&gt;"",'Munkatárs kiutazások'!G86*'Munkatárs kiutazások'!J86,"")</f>
        <v/>
      </c>
    </row>
    <row r="83" spans="14:27" x14ac:dyDescent="0.25">
      <c r="N83" s="15" t="str">
        <f>IF(AND('Tanuló kiutazások'!AD87&lt;&gt;"",'Tanuló kiutazások'!AD87&gt;0),'Tanuló kiutazások'!D87,"")</f>
        <v/>
      </c>
      <c r="O83" s="15" t="str">
        <f>IF('Tanuló kiutazások'!B87&lt;&gt;"",IF('Tanuló kiutazások'!Z87="Jogosult igényelni",IF('Tanuló kiutazások'!AD87&gt;0,'Tanuló kiutazások'!AA87*'Tanuló kiutazások'!AD87*VLOOKUP('Tanuló kiutazások'!C87,Segédlet!$C$5:$G$37,4,0),0),0),"")</f>
        <v/>
      </c>
      <c r="P83" s="15" t="str">
        <f>IF('Tanuló kiutazások'!B87&lt;&gt;"",IF('Tanuló kiutazások'!Z87="Jogosult igényelni",IF('Tanuló kiutazások'!AD87&gt;0,1*'Tanuló kiutazások'!AD87*VLOOKUP('Tanuló kiutazások'!C87,Segédlet!$C$5:$G$37,4,0),0),0),"")</f>
        <v/>
      </c>
      <c r="Q83" s="15" t="str">
        <f>IF('Tanuló kiutazások'!B87&lt;&gt;"",IF(AND('Tanuló kiutazások'!Z87="Jogosult igényelni",'Tanuló kiutazások'!AD87&gt;0),'Tanuló kiutazások'!AA87,0),"")</f>
        <v/>
      </c>
      <c r="R83" s="15" t="str">
        <f>IF('Tanuló kiutazások'!B87&lt;&gt;"",IF(AND('Tanuló kiutazások'!Z87="Jogosult igényelni",'Tanuló kiutazások'!AD87&gt;0),1,0),"")</f>
        <v/>
      </c>
      <c r="S83" s="15" t="str">
        <f>IF('Tanuló kiutazások'!B87&lt;&gt;"",IF('Tanuló kiutazások'!Z87="Jogosult igényelni",IF(AND('Tanuló kiutazások'!AC87&gt;0,'Tanuló kiutazások'!AF87&gt;0),(1+'Tanuló kiutazások'!AA87-'Tanuló kiutazások'!AC87)*VLOOKUP('Tanuló kiutazások'!P87,$I$5:$J$12,2,0),IF('Tanuló kiutazások'!AD87&gt;0,(1+'Tanuló kiutazások'!AA87)*VLOOKUP('Tanuló kiutazások'!P87,$I$5:$J$12,2,0),0)),0),"")</f>
        <v/>
      </c>
      <c r="T83" s="15" t="str">
        <f t="shared" si="7"/>
        <v/>
      </c>
      <c r="U83" s="15" t="str">
        <f t="shared" si="8"/>
        <v/>
      </c>
      <c r="V83" s="15" t="str">
        <f>IF('Tanuló kiutazások'!AD87&gt;0,'Tanuló kiutazások'!AD87,0)</f>
        <v/>
      </c>
      <c r="W83" s="15" t="str">
        <f t="shared" si="9"/>
        <v/>
      </c>
      <c r="X83" s="23" t="str">
        <f>IF('Tanuló kiutazások'!B87&lt;&gt;"",'Tanuló kiutazások'!G87*'Tanuló kiutazások'!N87,"")</f>
        <v/>
      </c>
      <c r="Y83" s="23" t="str">
        <f>IF('Tanuló kiutazások'!B87&lt;&gt;"",('Tanuló kiutazások'!L87+'Tanuló kiutazások'!M87)*'Tanuló kiutazások'!K87,"")</f>
        <v/>
      </c>
      <c r="Z83" s="15" t="str">
        <f>IF('Munkatárs kiutazások'!B87&lt;&gt;"",'Munkatárs kiutazások'!G87*'Munkatárs kiutazások'!K87,"")</f>
        <v/>
      </c>
      <c r="AA83" s="15" t="str">
        <f>IF('Munkatárs kiutazások'!B87&lt;&gt;"",'Munkatárs kiutazások'!G87*'Munkatárs kiutazások'!J87,"")</f>
        <v/>
      </c>
    </row>
    <row r="84" spans="14:27" x14ac:dyDescent="0.25">
      <c r="N84" s="15" t="str">
        <f>IF(AND('Tanuló kiutazások'!AD88&lt;&gt;"",'Tanuló kiutazások'!AD88&gt;0),'Tanuló kiutazások'!D88,"")</f>
        <v/>
      </c>
      <c r="O84" s="15" t="str">
        <f>IF('Tanuló kiutazások'!B88&lt;&gt;"",IF('Tanuló kiutazások'!Z88="Jogosult igényelni",IF('Tanuló kiutazások'!AD88&gt;0,'Tanuló kiutazások'!AA88*'Tanuló kiutazások'!AD88*VLOOKUP('Tanuló kiutazások'!C88,Segédlet!$C$5:$G$37,4,0),0),0),"")</f>
        <v/>
      </c>
      <c r="P84" s="15" t="str">
        <f>IF('Tanuló kiutazások'!B88&lt;&gt;"",IF('Tanuló kiutazások'!Z88="Jogosult igényelni",IF('Tanuló kiutazások'!AD88&gt;0,1*'Tanuló kiutazások'!AD88*VLOOKUP('Tanuló kiutazások'!C88,Segédlet!$C$5:$G$37,4,0),0),0),"")</f>
        <v/>
      </c>
      <c r="Q84" s="15" t="str">
        <f>IF('Tanuló kiutazások'!B88&lt;&gt;"",IF(AND('Tanuló kiutazások'!Z88="Jogosult igényelni",'Tanuló kiutazások'!AD88&gt;0),'Tanuló kiutazások'!AA88,0),"")</f>
        <v/>
      </c>
      <c r="R84" s="15" t="str">
        <f>IF('Tanuló kiutazások'!B88&lt;&gt;"",IF(AND('Tanuló kiutazások'!Z88="Jogosult igényelni",'Tanuló kiutazások'!AD88&gt;0),1,0),"")</f>
        <v/>
      </c>
      <c r="S84" s="15" t="str">
        <f>IF('Tanuló kiutazások'!B88&lt;&gt;"",IF('Tanuló kiutazások'!Z88="Jogosult igényelni",IF(AND('Tanuló kiutazások'!AC88&gt;0,'Tanuló kiutazások'!AF88&gt;0),(1+'Tanuló kiutazások'!AA88-'Tanuló kiutazások'!AC88)*VLOOKUP('Tanuló kiutazások'!P88,$I$5:$J$12,2,0),IF('Tanuló kiutazások'!AD88&gt;0,(1+'Tanuló kiutazások'!AA88)*VLOOKUP('Tanuló kiutazások'!P88,$I$5:$J$12,2,0),0)),0),"")</f>
        <v/>
      </c>
      <c r="T84" s="15" t="str">
        <f t="shared" si="7"/>
        <v/>
      </c>
      <c r="U84" s="15" t="str">
        <f t="shared" si="8"/>
        <v/>
      </c>
      <c r="V84" s="15" t="str">
        <f>IF('Tanuló kiutazások'!AD88&gt;0,'Tanuló kiutazások'!AD88,0)</f>
        <v/>
      </c>
      <c r="W84" s="15" t="str">
        <f t="shared" si="9"/>
        <v/>
      </c>
      <c r="X84" s="23" t="str">
        <f>IF('Tanuló kiutazások'!B88&lt;&gt;"",'Tanuló kiutazások'!G88*'Tanuló kiutazások'!N88,"")</f>
        <v/>
      </c>
      <c r="Y84" s="23" t="str">
        <f>IF('Tanuló kiutazások'!B88&lt;&gt;"",('Tanuló kiutazások'!L88+'Tanuló kiutazások'!M88)*'Tanuló kiutazások'!K88,"")</f>
        <v/>
      </c>
      <c r="Z84" s="15" t="str">
        <f>IF('Munkatárs kiutazások'!B88&lt;&gt;"",'Munkatárs kiutazások'!G88*'Munkatárs kiutazások'!K88,"")</f>
        <v/>
      </c>
      <c r="AA84" s="15" t="str">
        <f>IF('Munkatárs kiutazások'!B88&lt;&gt;"",'Munkatárs kiutazások'!G88*'Munkatárs kiutazások'!J88,"")</f>
        <v/>
      </c>
    </row>
    <row r="85" spans="14:27" x14ac:dyDescent="0.25">
      <c r="N85" s="15" t="str">
        <f>IF(AND('Tanuló kiutazások'!AD89&lt;&gt;"",'Tanuló kiutazások'!AD89&gt;0),'Tanuló kiutazások'!D89,"")</f>
        <v/>
      </c>
      <c r="O85" s="15" t="str">
        <f>IF('Tanuló kiutazások'!B89&lt;&gt;"",IF('Tanuló kiutazások'!Z89="Jogosult igényelni",IF('Tanuló kiutazások'!AD89&gt;0,'Tanuló kiutazások'!AA89*'Tanuló kiutazások'!AD89*VLOOKUP('Tanuló kiutazások'!C89,Segédlet!$C$5:$G$37,4,0),0),0),"")</f>
        <v/>
      </c>
      <c r="P85" s="15" t="str">
        <f>IF('Tanuló kiutazások'!B89&lt;&gt;"",IF('Tanuló kiutazások'!Z89="Jogosult igényelni",IF('Tanuló kiutazások'!AD89&gt;0,1*'Tanuló kiutazások'!AD89*VLOOKUP('Tanuló kiutazások'!C89,Segédlet!$C$5:$G$37,4,0),0),0),"")</f>
        <v/>
      </c>
      <c r="Q85" s="15" t="str">
        <f>IF('Tanuló kiutazások'!B89&lt;&gt;"",IF(AND('Tanuló kiutazások'!Z89="Jogosult igényelni",'Tanuló kiutazások'!AD89&gt;0),'Tanuló kiutazások'!AA89,0),"")</f>
        <v/>
      </c>
      <c r="R85" s="15" t="str">
        <f>IF('Tanuló kiutazások'!B89&lt;&gt;"",IF(AND('Tanuló kiutazások'!Z89="Jogosult igényelni",'Tanuló kiutazások'!AD89&gt;0),1,0),"")</f>
        <v/>
      </c>
      <c r="S85" s="15" t="str">
        <f>IF('Tanuló kiutazások'!B89&lt;&gt;"",IF('Tanuló kiutazások'!Z89="Jogosult igényelni",IF(AND('Tanuló kiutazások'!AC89&gt;0,'Tanuló kiutazások'!AF89&gt;0),(1+'Tanuló kiutazások'!AA89-'Tanuló kiutazások'!AC89)*VLOOKUP('Tanuló kiutazások'!P89,$I$5:$J$12,2,0),IF('Tanuló kiutazások'!AD89&gt;0,(1+'Tanuló kiutazások'!AA89)*VLOOKUP('Tanuló kiutazások'!P89,$I$5:$J$12,2,0),0)),0),"")</f>
        <v/>
      </c>
      <c r="T85" s="15" t="str">
        <f t="shared" si="7"/>
        <v/>
      </c>
      <c r="U85" s="15" t="str">
        <f t="shared" si="8"/>
        <v/>
      </c>
      <c r="V85" s="15" t="str">
        <f>IF('Tanuló kiutazások'!AD89&gt;0,'Tanuló kiutazások'!AD89,0)</f>
        <v/>
      </c>
      <c r="W85" s="15" t="str">
        <f t="shared" si="9"/>
        <v/>
      </c>
      <c r="X85" s="23" t="str">
        <f>IF('Tanuló kiutazások'!B89&lt;&gt;"",'Tanuló kiutazások'!G89*'Tanuló kiutazások'!N89,"")</f>
        <v/>
      </c>
      <c r="Y85" s="23" t="str">
        <f>IF('Tanuló kiutazások'!B89&lt;&gt;"",('Tanuló kiutazások'!L89+'Tanuló kiutazások'!M89)*'Tanuló kiutazások'!K89,"")</f>
        <v/>
      </c>
      <c r="Z85" s="15" t="str">
        <f>IF('Munkatárs kiutazások'!B89&lt;&gt;"",'Munkatárs kiutazások'!G89*'Munkatárs kiutazások'!K89,"")</f>
        <v/>
      </c>
      <c r="AA85" s="15" t="str">
        <f>IF('Munkatárs kiutazások'!B89&lt;&gt;"",'Munkatárs kiutazások'!G89*'Munkatárs kiutazások'!J89,"")</f>
        <v/>
      </c>
    </row>
    <row r="86" spans="14:27" x14ac:dyDescent="0.25">
      <c r="N86" s="15" t="str">
        <f>IF(AND('Tanuló kiutazások'!AD90&lt;&gt;"",'Tanuló kiutazások'!AD90&gt;0),'Tanuló kiutazások'!D90,"")</f>
        <v/>
      </c>
      <c r="O86" s="15" t="str">
        <f>IF('Tanuló kiutazások'!B90&lt;&gt;"",IF('Tanuló kiutazások'!Z90="Jogosult igényelni",IF('Tanuló kiutazások'!AD90&gt;0,'Tanuló kiutazások'!AA90*'Tanuló kiutazások'!AD90*VLOOKUP('Tanuló kiutazások'!C90,Segédlet!$C$5:$G$37,4,0),0),0),"")</f>
        <v/>
      </c>
      <c r="P86" s="15" t="str">
        <f>IF('Tanuló kiutazások'!B90&lt;&gt;"",IF('Tanuló kiutazások'!Z90="Jogosult igényelni",IF('Tanuló kiutazások'!AD90&gt;0,1*'Tanuló kiutazások'!AD90*VLOOKUP('Tanuló kiutazások'!C90,Segédlet!$C$5:$G$37,4,0),0),0),"")</f>
        <v/>
      </c>
      <c r="Q86" s="15" t="str">
        <f>IF('Tanuló kiutazások'!B90&lt;&gt;"",IF(AND('Tanuló kiutazások'!Z90="Jogosult igényelni",'Tanuló kiutazások'!AD90&gt;0),'Tanuló kiutazások'!AA90,0),"")</f>
        <v/>
      </c>
      <c r="R86" s="15" t="str">
        <f>IF('Tanuló kiutazások'!B90&lt;&gt;"",IF(AND('Tanuló kiutazások'!Z90="Jogosult igényelni",'Tanuló kiutazások'!AD90&gt;0),1,0),"")</f>
        <v/>
      </c>
      <c r="S86" s="15" t="str">
        <f>IF('Tanuló kiutazások'!B90&lt;&gt;"",IF('Tanuló kiutazások'!Z90="Jogosult igényelni",IF(AND('Tanuló kiutazások'!AC90&gt;0,'Tanuló kiutazások'!AF90&gt;0),(1+'Tanuló kiutazások'!AA90-'Tanuló kiutazások'!AC90)*VLOOKUP('Tanuló kiutazások'!P90,$I$5:$J$12,2,0),IF('Tanuló kiutazások'!AD90&gt;0,(1+'Tanuló kiutazások'!AA90)*VLOOKUP('Tanuló kiutazások'!P90,$I$5:$J$12,2,0),0)),0),"")</f>
        <v/>
      </c>
      <c r="T86" s="15" t="str">
        <f t="shared" si="7"/>
        <v/>
      </c>
      <c r="U86" s="15" t="str">
        <f t="shared" si="8"/>
        <v/>
      </c>
      <c r="V86" s="15" t="str">
        <f>IF('Tanuló kiutazások'!AD90&gt;0,'Tanuló kiutazások'!AD90,0)</f>
        <v/>
      </c>
      <c r="W86" s="15" t="str">
        <f t="shared" si="9"/>
        <v/>
      </c>
      <c r="X86" s="23" t="str">
        <f>IF('Tanuló kiutazások'!B90&lt;&gt;"",'Tanuló kiutazások'!G90*'Tanuló kiutazások'!N90,"")</f>
        <v/>
      </c>
      <c r="Y86" s="23" t="str">
        <f>IF('Tanuló kiutazások'!B90&lt;&gt;"",('Tanuló kiutazások'!L90+'Tanuló kiutazások'!M90)*'Tanuló kiutazások'!K90,"")</f>
        <v/>
      </c>
      <c r="Z86" s="15" t="str">
        <f>IF('Munkatárs kiutazások'!B90&lt;&gt;"",'Munkatárs kiutazások'!G90*'Munkatárs kiutazások'!K90,"")</f>
        <v/>
      </c>
      <c r="AA86" s="15" t="str">
        <f>IF('Munkatárs kiutazások'!B90&lt;&gt;"",'Munkatárs kiutazások'!G90*'Munkatárs kiutazások'!J90,"")</f>
        <v/>
      </c>
    </row>
    <row r="87" spans="14:27" x14ac:dyDescent="0.25">
      <c r="N87" s="15" t="str">
        <f>IF(AND('Tanuló kiutazások'!AD91&lt;&gt;"",'Tanuló kiutazások'!AD91&gt;0),'Tanuló kiutazások'!D91,"")</f>
        <v/>
      </c>
      <c r="O87" s="15" t="str">
        <f>IF('Tanuló kiutazások'!B91&lt;&gt;"",IF('Tanuló kiutazások'!Z91="Jogosult igényelni",IF('Tanuló kiutazások'!AD91&gt;0,'Tanuló kiutazások'!AA91*'Tanuló kiutazások'!AD91*VLOOKUP('Tanuló kiutazások'!C91,Segédlet!$C$5:$G$37,4,0),0),0),"")</f>
        <v/>
      </c>
      <c r="P87" s="15" t="str">
        <f>IF('Tanuló kiutazások'!B91&lt;&gt;"",IF('Tanuló kiutazások'!Z91="Jogosult igényelni",IF('Tanuló kiutazások'!AD91&gt;0,1*'Tanuló kiutazások'!AD91*VLOOKUP('Tanuló kiutazások'!C91,Segédlet!$C$5:$G$37,4,0),0),0),"")</f>
        <v/>
      </c>
      <c r="Q87" s="15" t="str">
        <f>IF('Tanuló kiutazások'!B91&lt;&gt;"",IF(AND('Tanuló kiutazások'!Z91="Jogosult igényelni",'Tanuló kiutazások'!AD91&gt;0),'Tanuló kiutazások'!AA91,0),"")</f>
        <v/>
      </c>
      <c r="R87" s="15" t="str">
        <f>IF('Tanuló kiutazások'!B91&lt;&gt;"",IF(AND('Tanuló kiutazások'!Z91="Jogosult igényelni",'Tanuló kiutazások'!AD91&gt;0),1,0),"")</f>
        <v/>
      </c>
      <c r="S87" s="15" t="str">
        <f>IF('Tanuló kiutazások'!B91&lt;&gt;"",IF('Tanuló kiutazások'!Z91="Jogosult igényelni",IF(AND('Tanuló kiutazások'!AC91&gt;0,'Tanuló kiutazások'!AF91&gt;0),(1+'Tanuló kiutazások'!AA91-'Tanuló kiutazások'!AC91)*VLOOKUP('Tanuló kiutazások'!P91,$I$5:$J$12,2,0),IF('Tanuló kiutazások'!AD91&gt;0,(1+'Tanuló kiutazások'!AA91)*VLOOKUP('Tanuló kiutazások'!P91,$I$5:$J$12,2,0),0)),0),"")</f>
        <v/>
      </c>
      <c r="T87" s="15" t="str">
        <f t="shared" si="7"/>
        <v/>
      </c>
      <c r="U87" s="15" t="str">
        <f t="shared" si="8"/>
        <v/>
      </c>
      <c r="V87" s="15" t="str">
        <f>IF('Tanuló kiutazások'!AD91&gt;0,'Tanuló kiutazások'!AD91,0)</f>
        <v/>
      </c>
      <c r="W87" s="15" t="str">
        <f t="shared" si="9"/>
        <v/>
      </c>
      <c r="X87" s="23" t="str">
        <f>IF('Tanuló kiutazások'!B91&lt;&gt;"",'Tanuló kiutazások'!G91*'Tanuló kiutazások'!N91,"")</f>
        <v/>
      </c>
      <c r="Y87" s="23" t="str">
        <f>IF('Tanuló kiutazások'!B91&lt;&gt;"",('Tanuló kiutazások'!L91+'Tanuló kiutazások'!M91)*'Tanuló kiutazások'!K91,"")</f>
        <v/>
      </c>
      <c r="Z87" s="15" t="str">
        <f>IF('Munkatárs kiutazások'!B91&lt;&gt;"",'Munkatárs kiutazások'!G91*'Munkatárs kiutazások'!K91,"")</f>
        <v/>
      </c>
      <c r="AA87" s="15" t="str">
        <f>IF('Munkatárs kiutazások'!B91&lt;&gt;"",'Munkatárs kiutazások'!G91*'Munkatárs kiutazások'!J91,"")</f>
        <v/>
      </c>
    </row>
    <row r="88" spans="14:27" x14ac:dyDescent="0.25">
      <c r="N88" s="15" t="str">
        <f>IF(AND('Tanuló kiutazások'!AD92&lt;&gt;"",'Tanuló kiutazások'!AD92&gt;0),'Tanuló kiutazások'!D92,"")</f>
        <v/>
      </c>
      <c r="O88" s="15" t="str">
        <f>IF('Tanuló kiutazások'!B92&lt;&gt;"",IF('Tanuló kiutazások'!Z92="Jogosult igényelni",IF('Tanuló kiutazások'!AD92&gt;0,'Tanuló kiutazások'!AA92*'Tanuló kiutazások'!AD92*VLOOKUP('Tanuló kiutazások'!C92,Segédlet!$C$5:$G$37,4,0),0),0),"")</f>
        <v/>
      </c>
      <c r="P88" s="15" t="str">
        <f>IF('Tanuló kiutazások'!B92&lt;&gt;"",IF('Tanuló kiutazások'!Z92="Jogosult igényelni",IF('Tanuló kiutazások'!AD92&gt;0,1*'Tanuló kiutazások'!AD92*VLOOKUP('Tanuló kiutazások'!C92,Segédlet!$C$5:$G$37,4,0),0),0),"")</f>
        <v/>
      </c>
      <c r="Q88" s="15" t="str">
        <f>IF('Tanuló kiutazások'!B92&lt;&gt;"",IF(AND('Tanuló kiutazások'!Z92="Jogosult igényelni",'Tanuló kiutazások'!AD92&gt;0),'Tanuló kiutazások'!AA92,0),"")</f>
        <v/>
      </c>
      <c r="R88" s="15" t="str">
        <f>IF('Tanuló kiutazások'!B92&lt;&gt;"",IF(AND('Tanuló kiutazások'!Z92="Jogosult igényelni",'Tanuló kiutazások'!AD92&gt;0),1,0),"")</f>
        <v/>
      </c>
      <c r="S88" s="15" t="str">
        <f>IF('Tanuló kiutazások'!B92&lt;&gt;"",IF('Tanuló kiutazások'!Z92="Jogosult igényelni",IF(AND('Tanuló kiutazások'!AC92&gt;0,'Tanuló kiutazások'!AF92&gt;0),(1+'Tanuló kiutazások'!AA92-'Tanuló kiutazások'!AC92)*VLOOKUP('Tanuló kiutazások'!P92,$I$5:$J$12,2,0),IF('Tanuló kiutazások'!AD92&gt;0,(1+'Tanuló kiutazások'!AA92)*VLOOKUP('Tanuló kiutazások'!P92,$I$5:$J$12,2,0),0)),0),"")</f>
        <v/>
      </c>
      <c r="T88" s="15" t="str">
        <f t="shared" si="7"/>
        <v/>
      </c>
      <c r="U88" s="15" t="str">
        <f t="shared" si="8"/>
        <v/>
      </c>
      <c r="V88" s="15" t="str">
        <f>IF('Tanuló kiutazások'!AD92&gt;0,'Tanuló kiutazások'!AD92,0)</f>
        <v/>
      </c>
      <c r="W88" s="15" t="str">
        <f t="shared" si="9"/>
        <v/>
      </c>
      <c r="X88" s="23" t="str">
        <f>IF('Tanuló kiutazások'!B92&lt;&gt;"",'Tanuló kiutazások'!G92*'Tanuló kiutazások'!N92,"")</f>
        <v/>
      </c>
      <c r="Y88" s="23" t="str">
        <f>IF('Tanuló kiutazások'!B92&lt;&gt;"",('Tanuló kiutazások'!L92+'Tanuló kiutazások'!M92)*'Tanuló kiutazások'!K92,"")</f>
        <v/>
      </c>
      <c r="Z88" s="15" t="str">
        <f>IF('Munkatárs kiutazások'!B92&lt;&gt;"",'Munkatárs kiutazások'!G92*'Munkatárs kiutazások'!K92,"")</f>
        <v/>
      </c>
      <c r="AA88" s="15" t="str">
        <f>IF('Munkatárs kiutazások'!B92&lt;&gt;"",'Munkatárs kiutazások'!G92*'Munkatárs kiutazások'!J92,"")</f>
        <v/>
      </c>
    </row>
    <row r="89" spans="14:27" x14ac:dyDescent="0.25">
      <c r="N89" s="15" t="str">
        <f>IF(AND('Tanuló kiutazások'!AD93&lt;&gt;"",'Tanuló kiutazások'!AD93&gt;0),'Tanuló kiutazások'!D93,"")</f>
        <v/>
      </c>
      <c r="O89" s="15" t="str">
        <f>IF('Tanuló kiutazások'!B93&lt;&gt;"",IF('Tanuló kiutazások'!Z93="Jogosult igényelni",IF('Tanuló kiutazások'!AD93&gt;0,'Tanuló kiutazások'!AA93*'Tanuló kiutazások'!AD93*VLOOKUP('Tanuló kiutazások'!C93,Segédlet!$C$5:$G$37,4,0),0),0),"")</f>
        <v/>
      </c>
      <c r="P89" s="15" t="str">
        <f>IF('Tanuló kiutazások'!B93&lt;&gt;"",IF('Tanuló kiutazások'!Z93="Jogosult igényelni",IF('Tanuló kiutazások'!AD93&gt;0,1*'Tanuló kiutazások'!AD93*VLOOKUP('Tanuló kiutazások'!C93,Segédlet!$C$5:$G$37,4,0),0),0),"")</f>
        <v/>
      </c>
      <c r="Q89" s="15" t="str">
        <f>IF('Tanuló kiutazások'!B93&lt;&gt;"",IF(AND('Tanuló kiutazások'!Z93="Jogosult igényelni",'Tanuló kiutazások'!AD93&gt;0),'Tanuló kiutazások'!AA93,0),"")</f>
        <v/>
      </c>
      <c r="R89" s="15" t="str">
        <f>IF('Tanuló kiutazások'!B93&lt;&gt;"",IF(AND('Tanuló kiutazások'!Z93="Jogosult igényelni",'Tanuló kiutazások'!AD93&gt;0),1,0),"")</f>
        <v/>
      </c>
      <c r="S89" s="15" t="str">
        <f>IF('Tanuló kiutazások'!B93&lt;&gt;"",IF('Tanuló kiutazások'!Z93="Jogosult igényelni",IF(AND('Tanuló kiutazások'!AC93&gt;0,'Tanuló kiutazások'!AF93&gt;0),(1+'Tanuló kiutazások'!AA93-'Tanuló kiutazások'!AC93)*VLOOKUP('Tanuló kiutazások'!P93,$I$5:$J$12,2,0),IF('Tanuló kiutazások'!AD93&gt;0,(1+'Tanuló kiutazások'!AA93)*VLOOKUP('Tanuló kiutazások'!P93,$I$5:$J$12,2,0),0)),0),"")</f>
        <v/>
      </c>
      <c r="T89" s="15" t="str">
        <f t="shared" si="7"/>
        <v/>
      </c>
      <c r="U89" s="15" t="str">
        <f t="shared" si="8"/>
        <v/>
      </c>
      <c r="V89" s="15" t="str">
        <f>IF('Tanuló kiutazások'!AD93&gt;0,'Tanuló kiutazások'!AD93,0)</f>
        <v/>
      </c>
      <c r="W89" s="15" t="str">
        <f t="shared" si="9"/>
        <v/>
      </c>
      <c r="X89" s="23" t="str">
        <f>IF('Tanuló kiutazások'!B93&lt;&gt;"",'Tanuló kiutazások'!G93*'Tanuló kiutazások'!N93,"")</f>
        <v/>
      </c>
      <c r="Y89" s="23" t="str">
        <f>IF('Tanuló kiutazások'!B93&lt;&gt;"",('Tanuló kiutazások'!L93+'Tanuló kiutazások'!M93)*'Tanuló kiutazások'!K93,"")</f>
        <v/>
      </c>
      <c r="Z89" s="15" t="str">
        <f>IF('Munkatárs kiutazások'!B93&lt;&gt;"",'Munkatárs kiutazások'!G93*'Munkatárs kiutazások'!K93,"")</f>
        <v/>
      </c>
      <c r="AA89" s="15" t="str">
        <f>IF('Munkatárs kiutazások'!B93&lt;&gt;"",'Munkatárs kiutazások'!G93*'Munkatárs kiutazások'!J93,"")</f>
        <v/>
      </c>
    </row>
    <row r="90" spans="14:27" x14ac:dyDescent="0.25">
      <c r="N90" s="15" t="str">
        <f>IF(AND('Tanuló kiutazások'!AD94&lt;&gt;"",'Tanuló kiutazások'!AD94&gt;0),'Tanuló kiutazások'!D94,"")</f>
        <v/>
      </c>
      <c r="O90" s="15" t="str">
        <f>IF('Tanuló kiutazások'!B94&lt;&gt;"",IF('Tanuló kiutazások'!Z94="Jogosult igényelni",IF('Tanuló kiutazások'!AD94&gt;0,'Tanuló kiutazások'!AA94*'Tanuló kiutazások'!AD94*VLOOKUP('Tanuló kiutazások'!C94,Segédlet!$C$5:$G$37,4,0),0),0),"")</f>
        <v/>
      </c>
      <c r="P90" s="15" t="str">
        <f>IF('Tanuló kiutazások'!B94&lt;&gt;"",IF('Tanuló kiutazások'!Z94="Jogosult igényelni",IF('Tanuló kiutazások'!AD94&gt;0,1*'Tanuló kiutazások'!AD94*VLOOKUP('Tanuló kiutazások'!C94,Segédlet!$C$5:$G$37,4,0),0),0),"")</f>
        <v/>
      </c>
      <c r="Q90" s="15" t="str">
        <f>IF('Tanuló kiutazások'!B94&lt;&gt;"",IF(AND('Tanuló kiutazások'!Z94="Jogosult igényelni",'Tanuló kiutazások'!AD94&gt;0),'Tanuló kiutazások'!AA94,0),"")</f>
        <v/>
      </c>
      <c r="R90" s="15" t="str">
        <f>IF('Tanuló kiutazások'!B94&lt;&gt;"",IF(AND('Tanuló kiutazások'!Z94="Jogosult igényelni",'Tanuló kiutazások'!AD94&gt;0),1,0),"")</f>
        <v/>
      </c>
      <c r="S90" s="15" t="str">
        <f>IF('Tanuló kiutazások'!B94&lt;&gt;"",IF('Tanuló kiutazások'!Z94="Jogosult igényelni",IF(AND('Tanuló kiutazások'!AC94&gt;0,'Tanuló kiutazások'!AF94&gt;0),(1+'Tanuló kiutazások'!AA94-'Tanuló kiutazások'!AC94)*VLOOKUP('Tanuló kiutazások'!P94,$I$5:$J$12,2,0),IF('Tanuló kiutazások'!AD94&gt;0,(1+'Tanuló kiutazások'!AA94)*VLOOKUP('Tanuló kiutazások'!P94,$I$5:$J$12,2,0),0)),0),"")</f>
        <v/>
      </c>
      <c r="T90" s="15" t="str">
        <f t="shared" si="7"/>
        <v/>
      </c>
      <c r="U90" s="15" t="str">
        <f t="shared" si="8"/>
        <v/>
      </c>
      <c r="V90" s="15" t="str">
        <f>IF('Tanuló kiutazások'!AD94&gt;0,'Tanuló kiutazások'!AD94,0)</f>
        <v/>
      </c>
      <c r="W90" s="15" t="str">
        <f t="shared" si="9"/>
        <v/>
      </c>
      <c r="X90" s="23" t="str">
        <f>IF('Tanuló kiutazások'!B94&lt;&gt;"",'Tanuló kiutazások'!G94*'Tanuló kiutazások'!N94,"")</f>
        <v/>
      </c>
      <c r="Y90" s="23" t="str">
        <f>IF('Tanuló kiutazások'!B94&lt;&gt;"",('Tanuló kiutazások'!L94+'Tanuló kiutazások'!M94)*'Tanuló kiutazások'!K94,"")</f>
        <v/>
      </c>
      <c r="Z90" s="15" t="str">
        <f>IF('Munkatárs kiutazások'!B94&lt;&gt;"",'Munkatárs kiutazások'!G94*'Munkatárs kiutazások'!K94,"")</f>
        <v/>
      </c>
      <c r="AA90" s="15" t="str">
        <f>IF('Munkatárs kiutazások'!B94&lt;&gt;"",'Munkatárs kiutazások'!G94*'Munkatárs kiutazások'!J94,"")</f>
        <v/>
      </c>
    </row>
    <row r="91" spans="14:27" x14ac:dyDescent="0.25">
      <c r="N91" s="15" t="str">
        <f>IF(AND('Tanuló kiutazások'!AD95&lt;&gt;"",'Tanuló kiutazások'!AD95&gt;0),'Tanuló kiutazások'!D95,"")</f>
        <v/>
      </c>
      <c r="O91" s="15" t="str">
        <f>IF('Tanuló kiutazások'!B95&lt;&gt;"",IF('Tanuló kiutazások'!Z95="Jogosult igényelni",IF('Tanuló kiutazások'!AD95&gt;0,'Tanuló kiutazások'!AA95*'Tanuló kiutazások'!AD95*VLOOKUP('Tanuló kiutazások'!C95,Segédlet!$C$5:$G$37,4,0),0),0),"")</f>
        <v/>
      </c>
      <c r="P91" s="15" t="str">
        <f>IF('Tanuló kiutazások'!B95&lt;&gt;"",IF('Tanuló kiutazások'!Z95="Jogosult igényelni",IF('Tanuló kiutazások'!AD95&gt;0,1*'Tanuló kiutazások'!AD95*VLOOKUP('Tanuló kiutazások'!C95,Segédlet!$C$5:$G$37,4,0),0),0),"")</f>
        <v/>
      </c>
      <c r="Q91" s="15" t="str">
        <f>IF('Tanuló kiutazások'!B95&lt;&gt;"",IF(AND('Tanuló kiutazások'!Z95="Jogosult igényelni",'Tanuló kiutazások'!AD95&gt;0),'Tanuló kiutazások'!AA95,0),"")</f>
        <v/>
      </c>
      <c r="R91" s="15" t="str">
        <f>IF('Tanuló kiutazások'!B95&lt;&gt;"",IF(AND('Tanuló kiutazások'!Z95="Jogosult igényelni",'Tanuló kiutazások'!AD95&gt;0),1,0),"")</f>
        <v/>
      </c>
      <c r="S91" s="15" t="str">
        <f>IF('Tanuló kiutazások'!B95&lt;&gt;"",IF('Tanuló kiutazások'!Z95="Jogosult igényelni",IF(AND('Tanuló kiutazások'!AC95&gt;0,'Tanuló kiutazások'!AF95&gt;0),(1+'Tanuló kiutazások'!AA95-'Tanuló kiutazások'!AC95)*VLOOKUP('Tanuló kiutazások'!P95,$I$5:$J$12,2,0),IF('Tanuló kiutazások'!AD95&gt;0,(1+'Tanuló kiutazások'!AA95)*VLOOKUP('Tanuló kiutazások'!P95,$I$5:$J$12,2,0),0)),0),"")</f>
        <v/>
      </c>
      <c r="T91" s="15" t="str">
        <f t="shared" si="7"/>
        <v/>
      </c>
      <c r="U91" s="15" t="str">
        <f t="shared" si="8"/>
        <v/>
      </c>
      <c r="V91" s="15" t="str">
        <f>IF('Tanuló kiutazások'!AD95&gt;0,'Tanuló kiutazások'!AD95,0)</f>
        <v/>
      </c>
      <c r="W91" s="15" t="str">
        <f t="shared" si="9"/>
        <v/>
      </c>
      <c r="X91" s="23" t="str">
        <f>IF('Tanuló kiutazások'!B95&lt;&gt;"",'Tanuló kiutazások'!G95*'Tanuló kiutazások'!N95,"")</f>
        <v/>
      </c>
      <c r="Y91" s="23" t="str">
        <f>IF('Tanuló kiutazások'!B95&lt;&gt;"",('Tanuló kiutazások'!L95+'Tanuló kiutazások'!M95)*'Tanuló kiutazások'!K95,"")</f>
        <v/>
      </c>
      <c r="Z91" s="15" t="str">
        <f>IF('Munkatárs kiutazások'!B95&lt;&gt;"",'Munkatárs kiutazások'!G95*'Munkatárs kiutazások'!K95,"")</f>
        <v/>
      </c>
      <c r="AA91" s="15" t="str">
        <f>IF('Munkatárs kiutazások'!B95&lt;&gt;"",'Munkatárs kiutazások'!G95*'Munkatárs kiutazások'!J95,"")</f>
        <v/>
      </c>
    </row>
    <row r="92" spans="14:27" x14ac:dyDescent="0.25">
      <c r="N92" s="15" t="str">
        <f>IF(AND('Tanuló kiutazások'!AD96&lt;&gt;"",'Tanuló kiutazások'!AD96&gt;0),'Tanuló kiutazások'!D96,"")</f>
        <v/>
      </c>
      <c r="O92" s="15" t="str">
        <f>IF('Tanuló kiutazások'!B96&lt;&gt;"",IF('Tanuló kiutazások'!Z96="Jogosult igényelni",IF('Tanuló kiutazások'!AD96&gt;0,'Tanuló kiutazások'!AA96*'Tanuló kiutazások'!AD96*VLOOKUP('Tanuló kiutazások'!C96,Segédlet!$C$5:$G$37,4,0),0),0),"")</f>
        <v/>
      </c>
      <c r="P92" s="15" t="str">
        <f>IF('Tanuló kiutazások'!B96&lt;&gt;"",IF('Tanuló kiutazások'!Z96="Jogosult igényelni",IF('Tanuló kiutazások'!AD96&gt;0,1*'Tanuló kiutazások'!AD96*VLOOKUP('Tanuló kiutazások'!C96,Segédlet!$C$5:$G$37,4,0),0),0),"")</f>
        <v/>
      </c>
      <c r="Q92" s="15" t="str">
        <f>IF('Tanuló kiutazások'!B96&lt;&gt;"",IF(AND('Tanuló kiutazások'!Z96="Jogosult igényelni",'Tanuló kiutazások'!AD96&gt;0),'Tanuló kiutazások'!AA96,0),"")</f>
        <v/>
      </c>
      <c r="R92" s="15" t="str">
        <f>IF('Tanuló kiutazások'!B96&lt;&gt;"",IF(AND('Tanuló kiutazások'!Z96="Jogosult igényelni",'Tanuló kiutazások'!AD96&gt;0),1,0),"")</f>
        <v/>
      </c>
      <c r="S92" s="15" t="str">
        <f>IF('Tanuló kiutazások'!B96&lt;&gt;"",IF('Tanuló kiutazások'!Z96="Jogosult igényelni",IF(AND('Tanuló kiutazások'!AC96&gt;0,'Tanuló kiutazások'!AF96&gt;0),(1+'Tanuló kiutazások'!AA96-'Tanuló kiutazások'!AC96)*VLOOKUP('Tanuló kiutazások'!P96,$I$5:$J$12,2,0),IF('Tanuló kiutazások'!AD96&gt;0,(1+'Tanuló kiutazások'!AA96)*VLOOKUP('Tanuló kiutazások'!P96,$I$5:$J$12,2,0),0)),0),"")</f>
        <v/>
      </c>
      <c r="T92" s="15" t="str">
        <f t="shared" si="7"/>
        <v/>
      </c>
      <c r="U92" s="15" t="str">
        <f t="shared" si="8"/>
        <v/>
      </c>
      <c r="V92" s="15" t="str">
        <f>IF('Tanuló kiutazások'!AD96&gt;0,'Tanuló kiutazások'!AD96,0)</f>
        <v/>
      </c>
      <c r="W92" s="15" t="str">
        <f t="shared" si="9"/>
        <v/>
      </c>
      <c r="X92" s="23" t="str">
        <f>IF('Tanuló kiutazások'!B96&lt;&gt;"",'Tanuló kiutazások'!G96*'Tanuló kiutazások'!N96,"")</f>
        <v/>
      </c>
      <c r="Y92" s="23" t="str">
        <f>IF('Tanuló kiutazások'!B96&lt;&gt;"",('Tanuló kiutazások'!L96+'Tanuló kiutazások'!M96)*'Tanuló kiutazások'!K96,"")</f>
        <v/>
      </c>
      <c r="Z92" s="15" t="str">
        <f>IF('Munkatárs kiutazások'!B96&lt;&gt;"",'Munkatárs kiutazások'!G96*'Munkatárs kiutazások'!K96,"")</f>
        <v/>
      </c>
      <c r="AA92" s="15" t="str">
        <f>IF('Munkatárs kiutazások'!B96&lt;&gt;"",'Munkatárs kiutazások'!G96*'Munkatárs kiutazások'!J96,"")</f>
        <v/>
      </c>
    </row>
    <row r="93" spans="14:27" x14ac:dyDescent="0.25">
      <c r="N93" s="15" t="str">
        <f>IF(AND('Tanuló kiutazások'!AD97&lt;&gt;"",'Tanuló kiutazások'!AD97&gt;0),'Tanuló kiutazások'!D97,"")</f>
        <v/>
      </c>
      <c r="O93" s="15" t="str">
        <f>IF('Tanuló kiutazások'!B97&lt;&gt;"",IF('Tanuló kiutazások'!Z97="Jogosult igényelni",IF('Tanuló kiutazások'!AD97&gt;0,'Tanuló kiutazások'!AA97*'Tanuló kiutazások'!AD97*VLOOKUP('Tanuló kiutazások'!C97,Segédlet!$C$5:$G$37,4,0),0),0),"")</f>
        <v/>
      </c>
      <c r="P93" s="15" t="str">
        <f>IF('Tanuló kiutazások'!B97&lt;&gt;"",IF('Tanuló kiutazások'!Z97="Jogosult igényelni",IF('Tanuló kiutazások'!AD97&gt;0,1*'Tanuló kiutazások'!AD97*VLOOKUP('Tanuló kiutazások'!C97,Segédlet!$C$5:$G$37,4,0),0),0),"")</f>
        <v/>
      </c>
      <c r="Q93" s="15" t="str">
        <f>IF('Tanuló kiutazások'!B97&lt;&gt;"",IF(AND('Tanuló kiutazások'!Z97="Jogosult igényelni",'Tanuló kiutazások'!AD97&gt;0),'Tanuló kiutazások'!AA97,0),"")</f>
        <v/>
      </c>
      <c r="R93" s="15" t="str">
        <f>IF('Tanuló kiutazások'!B97&lt;&gt;"",IF(AND('Tanuló kiutazások'!Z97="Jogosult igényelni",'Tanuló kiutazások'!AD97&gt;0),1,0),"")</f>
        <v/>
      </c>
      <c r="S93" s="15" t="str">
        <f>IF('Tanuló kiutazások'!B97&lt;&gt;"",IF('Tanuló kiutazások'!Z97="Jogosult igényelni",IF(AND('Tanuló kiutazások'!AC97&gt;0,'Tanuló kiutazások'!AF97&gt;0),(1+'Tanuló kiutazások'!AA97-'Tanuló kiutazások'!AC97)*VLOOKUP('Tanuló kiutazások'!P97,$I$5:$J$12,2,0),IF('Tanuló kiutazások'!AD97&gt;0,(1+'Tanuló kiutazások'!AA97)*VLOOKUP('Tanuló kiutazások'!P97,$I$5:$J$12,2,0),0)),0),"")</f>
        <v/>
      </c>
      <c r="T93" s="15" t="str">
        <f t="shared" si="7"/>
        <v/>
      </c>
      <c r="U93" s="15" t="str">
        <f t="shared" si="8"/>
        <v/>
      </c>
      <c r="V93" s="15" t="str">
        <f>IF('Tanuló kiutazások'!AD97&gt;0,'Tanuló kiutazások'!AD97,0)</f>
        <v/>
      </c>
      <c r="W93" s="15" t="str">
        <f t="shared" si="9"/>
        <v/>
      </c>
      <c r="X93" s="23" t="str">
        <f>IF('Tanuló kiutazások'!B97&lt;&gt;"",'Tanuló kiutazások'!G97*'Tanuló kiutazások'!N97,"")</f>
        <v/>
      </c>
      <c r="Y93" s="23" t="str">
        <f>IF('Tanuló kiutazások'!B97&lt;&gt;"",('Tanuló kiutazások'!L97+'Tanuló kiutazások'!M97)*'Tanuló kiutazások'!K97,"")</f>
        <v/>
      </c>
      <c r="Z93" s="15" t="str">
        <f>IF('Munkatárs kiutazások'!B97&lt;&gt;"",'Munkatárs kiutazások'!G97*'Munkatárs kiutazások'!K97,"")</f>
        <v/>
      </c>
      <c r="AA93" s="15" t="str">
        <f>IF('Munkatárs kiutazások'!B97&lt;&gt;"",'Munkatárs kiutazások'!G97*'Munkatárs kiutazások'!J97,"")</f>
        <v/>
      </c>
    </row>
    <row r="94" spans="14:27" x14ac:dyDescent="0.25">
      <c r="N94" s="15" t="str">
        <f>IF(AND('Tanuló kiutazások'!AD98&lt;&gt;"",'Tanuló kiutazások'!AD98&gt;0),'Tanuló kiutazások'!D98,"")</f>
        <v/>
      </c>
      <c r="O94" s="15" t="str">
        <f>IF('Tanuló kiutazások'!B98&lt;&gt;"",IF('Tanuló kiutazások'!Z98="Jogosult igényelni",IF('Tanuló kiutazások'!AD98&gt;0,'Tanuló kiutazások'!AA98*'Tanuló kiutazások'!AD98*VLOOKUP('Tanuló kiutazások'!C98,Segédlet!$C$5:$G$37,4,0),0),0),"")</f>
        <v/>
      </c>
      <c r="P94" s="15" t="str">
        <f>IF('Tanuló kiutazások'!B98&lt;&gt;"",IF('Tanuló kiutazások'!Z98="Jogosult igényelni",IF('Tanuló kiutazások'!AD98&gt;0,1*'Tanuló kiutazások'!AD98*VLOOKUP('Tanuló kiutazások'!C98,Segédlet!$C$5:$G$37,4,0),0),0),"")</f>
        <v/>
      </c>
      <c r="Q94" s="15" t="str">
        <f>IF('Tanuló kiutazások'!B98&lt;&gt;"",IF(AND('Tanuló kiutazások'!Z98="Jogosult igényelni",'Tanuló kiutazások'!AD98&gt;0),'Tanuló kiutazások'!AA98,0),"")</f>
        <v/>
      </c>
      <c r="R94" s="15" t="str">
        <f>IF('Tanuló kiutazások'!B98&lt;&gt;"",IF(AND('Tanuló kiutazások'!Z98="Jogosult igényelni",'Tanuló kiutazások'!AD98&gt;0),1,0),"")</f>
        <v/>
      </c>
      <c r="S94" s="15" t="str">
        <f>IF('Tanuló kiutazások'!B98&lt;&gt;"",IF('Tanuló kiutazások'!Z98="Jogosult igényelni",IF(AND('Tanuló kiutazások'!AC98&gt;0,'Tanuló kiutazások'!AF98&gt;0),(1+'Tanuló kiutazások'!AA98-'Tanuló kiutazások'!AC98)*VLOOKUP('Tanuló kiutazások'!P98,$I$5:$J$12,2,0),IF('Tanuló kiutazások'!AD98&gt;0,(1+'Tanuló kiutazások'!AA98)*VLOOKUP('Tanuló kiutazások'!P98,$I$5:$J$12,2,0),0)),0),"")</f>
        <v/>
      </c>
      <c r="T94" s="15" t="str">
        <f t="shared" si="7"/>
        <v/>
      </c>
      <c r="U94" s="15" t="str">
        <f t="shared" si="8"/>
        <v/>
      </c>
      <c r="V94" s="15" t="str">
        <f>IF('Tanuló kiutazások'!AD98&gt;0,'Tanuló kiutazások'!AD98,0)</f>
        <v/>
      </c>
      <c r="W94" s="15" t="str">
        <f t="shared" si="9"/>
        <v/>
      </c>
      <c r="X94" s="23" t="str">
        <f>IF('Tanuló kiutazások'!B98&lt;&gt;"",'Tanuló kiutazások'!G98*'Tanuló kiutazások'!N98,"")</f>
        <v/>
      </c>
      <c r="Y94" s="23" t="str">
        <f>IF('Tanuló kiutazások'!B98&lt;&gt;"",('Tanuló kiutazások'!L98+'Tanuló kiutazások'!M98)*'Tanuló kiutazások'!K98,"")</f>
        <v/>
      </c>
      <c r="Z94" s="15" t="str">
        <f>IF('Munkatárs kiutazások'!B98&lt;&gt;"",'Munkatárs kiutazások'!G98*'Munkatárs kiutazások'!K98,"")</f>
        <v/>
      </c>
      <c r="AA94" s="15" t="str">
        <f>IF('Munkatárs kiutazások'!B98&lt;&gt;"",'Munkatárs kiutazások'!G98*'Munkatárs kiutazások'!J98,"")</f>
        <v/>
      </c>
    </row>
    <row r="95" spans="14:27" x14ac:dyDescent="0.25">
      <c r="N95" s="15" t="str">
        <f>IF(AND('Tanuló kiutazások'!AD99&lt;&gt;"",'Tanuló kiutazások'!AD99&gt;0),'Tanuló kiutazások'!D99,"")</f>
        <v/>
      </c>
      <c r="O95" s="15" t="str">
        <f>IF('Tanuló kiutazások'!B99&lt;&gt;"",IF('Tanuló kiutazások'!Z99="Jogosult igényelni",IF('Tanuló kiutazások'!AD99&gt;0,'Tanuló kiutazások'!AA99*'Tanuló kiutazások'!AD99*VLOOKUP('Tanuló kiutazások'!C99,Segédlet!$C$5:$G$37,4,0),0),0),"")</f>
        <v/>
      </c>
      <c r="P95" s="15" t="str">
        <f>IF('Tanuló kiutazások'!B99&lt;&gt;"",IF('Tanuló kiutazások'!Z99="Jogosult igényelni",IF('Tanuló kiutazások'!AD99&gt;0,1*'Tanuló kiutazások'!AD99*VLOOKUP('Tanuló kiutazások'!C99,Segédlet!$C$5:$G$37,4,0),0),0),"")</f>
        <v/>
      </c>
      <c r="Q95" s="15" t="str">
        <f>IF('Tanuló kiutazások'!B99&lt;&gt;"",IF(AND('Tanuló kiutazások'!Z99="Jogosult igényelni",'Tanuló kiutazások'!AD99&gt;0),'Tanuló kiutazások'!AA99,0),"")</f>
        <v/>
      </c>
      <c r="R95" s="15" t="str">
        <f>IF('Tanuló kiutazások'!B99&lt;&gt;"",IF(AND('Tanuló kiutazások'!Z99="Jogosult igényelni",'Tanuló kiutazások'!AD99&gt;0),1,0),"")</f>
        <v/>
      </c>
      <c r="S95" s="15" t="str">
        <f>IF('Tanuló kiutazások'!B99&lt;&gt;"",IF('Tanuló kiutazások'!Z99="Jogosult igényelni",IF(AND('Tanuló kiutazások'!AC99&gt;0,'Tanuló kiutazások'!AF99&gt;0),(1+'Tanuló kiutazások'!AA99-'Tanuló kiutazások'!AC99)*VLOOKUP('Tanuló kiutazások'!P99,$I$5:$J$12,2,0),IF('Tanuló kiutazások'!AD99&gt;0,(1+'Tanuló kiutazások'!AA99)*VLOOKUP('Tanuló kiutazások'!P99,$I$5:$J$12,2,0),0)),0),"")</f>
        <v/>
      </c>
      <c r="T95" s="15" t="str">
        <f t="shared" si="7"/>
        <v/>
      </c>
      <c r="U95" s="15" t="str">
        <f t="shared" si="8"/>
        <v/>
      </c>
      <c r="V95" s="15" t="str">
        <f>IF('Tanuló kiutazások'!AD99&gt;0,'Tanuló kiutazások'!AD99,0)</f>
        <v/>
      </c>
      <c r="W95" s="15" t="str">
        <f t="shared" si="9"/>
        <v/>
      </c>
      <c r="X95" s="23" t="str">
        <f>IF('Tanuló kiutazások'!B99&lt;&gt;"",'Tanuló kiutazások'!G99*'Tanuló kiutazások'!N99,"")</f>
        <v/>
      </c>
      <c r="Y95" s="23" t="str">
        <f>IF('Tanuló kiutazások'!B99&lt;&gt;"",('Tanuló kiutazások'!L99+'Tanuló kiutazások'!M99)*'Tanuló kiutazások'!K99,"")</f>
        <v/>
      </c>
      <c r="Z95" s="15" t="str">
        <f>IF('Munkatárs kiutazások'!B99&lt;&gt;"",'Munkatárs kiutazások'!G99*'Munkatárs kiutazások'!K99,"")</f>
        <v/>
      </c>
      <c r="AA95" s="15" t="str">
        <f>IF('Munkatárs kiutazások'!B99&lt;&gt;"",'Munkatárs kiutazások'!G99*'Munkatárs kiutazások'!J99,"")</f>
        <v/>
      </c>
    </row>
    <row r="96" spans="14:27" x14ac:dyDescent="0.25">
      <c r="N96" s="15" t="str">
        <f>IF(AND('Tanuló kiutazások'!AD100&lt;&gt;"",'Tanuló kiutazások'!AD100&gt;0),'Tanuló kiutazások'!D100,"")</f>
        <v/>
      </c>
      <c r="O96" s="15" t="str">
        <f>IF('Tanuló kiutazások'!B100&lt;&gt;"",IF('Tanuló kiutazások'!Z100="Jogosult igényelni",IF('Tanuló kiutazások'!AD100&gt;0,'Tanuló kiutazások'!AA100*'Tanuló kiutazások'!AD100*VLOOKUP('Tanuló kiutazások'!C100,Segédlet!$C$5:$G$37,4,0),0),0),"")</f>
        <v/>
      </c>
      <c r="P96" s="15" t="str">
        <f>IF('Tanuló kiutazások'!B100&lt;&gt;"",IF('Tanuló kiutazások'!Z100="Jogosult igényelni",IF('Tanuló kiutazások'!AD100&gt;0,1*'Tanuló kiutazások'!AD100*VLOOKUP('Tanuló kiutazások'!C100,Segédlet!$C$5:$G$37,4,0),0),0),"")</f>
        <v/>
      </c>
      <c r="Q96" s="15" t="str">
        <f>IF('Tanuló kiutazások'!B100&lt;&gt;"",IF(AND('Tanuló kiutazások'!Z100="Jogosult igényelni",'Tanuló kiutazások'!AD100&gt;0),'Tanuló kiutazások'!AA100,0),"")</f>
        <v/>
      </c>
      <c r="R96" s="15" t="str">
        <f>IF('Tanuló kiutazások'!B100&lt;&gt;"",IF(AND('Tanuló kiutazások'!Z100="Jogosult igényelni",'Tanuló kiutazások'!AD100&gt;0),1,0),"")</f>
        <v/>
      </c>
      <c r="S96" s="15" t="str">
        <f>IF('Tanuló kiutazások'!B100&lt;&gt;"",IF('Tanuló kiutazások'!Z100="Jogosult igényelni",IF(AND('Tanuló kiutazások'!AC100&gt;0,'Tanuló kiutazások'!AF100&gt;0),(1+'Tanuló kiutazások'!AA100-'Tanuló kiutazások'!AC100)*VLOOKUP('Tanuló kiutazások'!P100,$I$5:$J$12,2,0),IF('Tanuló kiutazások'!AD100&gt;0,(1+'Tanuló kiutazások'!AA100)*VLOOKUP('Tanuló kiutazások'!P100,$I$5:$J$12,2,0),0)),0),"")</f>
        <v/>
      </c>
      <c r="T96" s="15" t="str">
        <f t="shared" si="7"/>
        <v/>
      </c>
      <c r="U96" s="15" t="str">
        <f t="shared" si="8"/>
        <v/>
      </c>
      <c r="V96" s="15" t="str">
        <f>IF('Tanuló kiutazások'!AD100&gt;0,'Tanuló kiutazások'!AD100,0)</f>
        <v/>
      </c>
      <c r="W96" s="15" t="str">
        <f t="shared" si="9"/>
        <v/>
      </c>
      <c r="X96" s="23" t="str">
        <f>IF('Tanuló kiutazások'!B100&lt;&gt;"",'Tanuló kiutazások'!G100*'Tanuló kiutazások'!N100,"")</f>
        <v/>
      </c>
      <c r="Y96" s="23" t="str">
        <f>IF('Tanuló kiutazások'!B100&lt;&gt;"",('Tanuló kiutazások'!L100+'Tanuló kiutazások'!M100)*'Tanuló kiutazások'!K100,"")</f>
        <v/>
      </c>
      <c r="Z96" s="15" t="str">
        <f>IF('Munkatárs kiutazások'!B100&lt;&gt;"",'Munkatárs kiutazások'!G100*'Munkatárs kiutazások'!K100,"")</f>
        <v/>
      </c>
      <c r="AA96" s="15" t="str">
        <f>IF('Munkatárs kiutazások'!B100&lt;&gt;"",'Munkatárs kiutazások'!G100*'Munkatárs kiutazások'!J100,"")</f>
        <v/>
      </c>
    </row>
    <row r="97" spans="14:27" x14ac:dyDescent="0.25">
      <c r="N97" s="15" t="str">
        <f>IF(AND('Tanuló kiutazások'!AD101&lt;&gt;"",'Tanuló kiutazások'!AD101&gt;0),'Tanuló kiutazások'!D101,"")</f>
        <v/>
      </c>
      <c r="O97" s="15" t="str">
        <f>IF('Tanuló kiutazások'!B101&lt;&gt;"",IF('Tanuló kiutazások'!Z101="Jogosult igényelni",IF('Tanuló kiutazások'!AD101&gt;0,'Tanuló kiutazások'!AA101*'Tanuló kiutazások'!AD101*VLOOKUP('Tanuló kiutazások'!C101,Segédlet!$C$5:$G$37,4,0),0),0),"")</f>
        <v/>
      </c>
      <c r="P97" s="15" t="str">
        <f>IF('Tanuló kiutazások'!B101&lt;&gt;"",IF('Tanuló kiutazások'!Z101="Jogosult igényelni",IF('Tanuló kiutazások'!AD101&gt;0,1*'Tanuló kiutazások'!AD101*VLOOKUP('Tanuló kiutazások'!C101,Segédlet!$C$5:$G$37,4,0),0),0),"")</f>
        <v/>
      </c>
      <c r="Q97" s="15" t="str">
        <f>IF('Tanuló kiutazások'!B101&lt;&gt;"",IF(AND('Tanuló kiutazások'!Z101="Jogosult igényelni",'Tanuló kiutazások'!AD101&gt;0),'Tanuló kiutazások'!AA101,0),"")</f>
        <v/>
      </c>
      <c r="R97" s="15" t="str">
        <f>IF('Tanuló kiutazások'!B101&lt;&gt;"",IF(AND('Tanuló kiutazások'!Z101="Jogosult igényelni",'Tanuló kiutazások'!AD101&gt;0),1,0),"")</f>
        <v/>
      </c>
      <c r="S97" s="15" t="str">
        <f>IF('Tanuló kiutazások'!B101&lt;&gt;"",IF('Tanuló kiutazások'!Z101="Jogosult igényelni",IF(AND('Tanuló kiutazások'!AC101&gt;0,'Tanuló kiutazások'!AF101&gt;0),(1+'Tanuló kiutazások'!AA101-'Tanuló kiutazások'!AC101)*VLOOKUP('Tanuló kiutazások'!P101,$I$5:$J$12,2,0),IF('Tanuló kiutazások'!AD101&gt;0,(1+'Tanuló kiutazások'!AA101)*VLOOKUP('Tanuló kiutazások'!P101,$I$5:$J$12,2,0),0)),0),"")</f>
        <v/>
      </c>
      <c r="T97" s="15" t="str">
        <f t="shared" si="7"/>
        <v/>
      </c>
      <c r="U97" s="15" t="str">
        <f t="shared" si="8"/>
        <v/>
      </c>
      <c r="V97" s="15" t="str">
        <f>IF('Tanuló kiutazások'!AD101&gt;0,'Tanuló kiutazások'!AD101,0)</f>
        <v/>
      </c>
      <c r="W97" s="15" t="str">
        <f t="shared" si="9"/>
        <v/>
      </c>
      <c r="X97" s="23" t="str">
        <f>IF('Tanuló kiutazások'!B101&lt;&gt;"",'Tanuló kiutazások'!G101*'Tanuló kiutazások'!N101,"")</f>
        <v/>
      </c>
      <c r="Y97" s="23" t="str">
        <f>IF('Tanuló kiutazások'!B101&lt;&gt;"",('Tanuló kiutazások'!L101+'Tanuló kiutazások'!M101)*'Tanuló kiutazások'!K101,"")</f>
        <v/>
      </c>
      <c r="Z97" s="15" t="str">
        <f>IF('Munkatárs kiutazások'!B101&lt;&gt;"",'Munkatárs kiutazások'!G101*'Munkatárs kiutazások'!K101,"")</f>
        <v/>
      </c>
      <c r="AA97" s="15" t="str">
        <f>IF('Munkatárs kiutazások'!B101&lt;&gt;"",'Munkatárs kiutazások'!G101*'Munkatárs kiutazások'!J101,"")</f>
        <v/>
      </c>
    </row>
    <row r="98" spans="14:27" x14ac:dyDescent="0.25">
      <c r="N98" s="15" t="str">
        <f>IF(AND('Tanuló kiutazások'!AD102&lt;&gt;"",'Tanuló kiutazások'!AD102&gt;0),'Tanuló kiutazások'!D102,"")</f>
        <v/>
      </c>
      <c r="O98" s="15" t="str">
        <f>IF('Tanuló kiutazások'!B102&lt;&gt;"",IF('Tanuló kiutazások'!Z102="Jogosult igényelni",IF('Tanuló kiutazások'!AD102&gt;0,'Tanuló kiutazások'!AA102*'Tanuló kiutazások'!AD102*VLOOKUP('Tanuló kiutazások'!C102,Segédlet!$C$5:$G$37,4,0),0),0),"")</f>
        <v/>
      </c>
      <c r="P98" s="15" t="str">
        <f>IF('Tanuló kiutazások'!B102&lt;&gt;"",IF('Tanuló kiutazások'!Z102="Jogosult igényelni",IF('Tanuló kiutazások'!AD102&gt;0,1*'Tanuló kiutazások'!AD102*VLOOKUP('Tanuló kiutazások'!C102,Segédlet!$C$5:$G$37,4,0),0),0),"")</f>
        <v/>
      </c>
      <c r="Q98" s="15" t="str">
        <f>IF('Tanuló kiutazások'!B102&lt;&gt;"",IF(AND('Tanuló kiutazások'!Z102="Jogosult igényelni",'Tanuló kiutazások'!AD102&gt;0),'Tanuló kiutazások'!AA102,0),"")</f>
        <v/>
      </c>
      <c r="R98" s="15" t="str">
        <f>IF('Tanuló kiutazások'!B102&lt;&gt;"",IF(AND('Tanuló kiutazások'!Z102="Jogosult igényelni",'Tanuló kiutazások'!AD102&gt;0),1,0),"")</f>
        <v/>
      </c>
      <c r="S98" s="15" t="str">
        <f>IF('Tanuló kiutazások'!B102&lt;&gt;"",IF('Tanuló kiutazások'!Z102="Jogosult igényelni",IF(AND('Tanuló kiutazások'!AC102&gt;0,'Tanuló kiutazások'!AF102&gt;0),(1+'Tanuló kiutazások'!AA102-'Tanuló kiutazások'!AC102)*VLOOKUP('Tanuló kiutazások'!P102,$I$5:$J$12,2,0),IF('Tanuló kiutazások'!AD102&gt;0,(1+'Tanuló kiutazások'!AA102)*VLOOKUP('Tanuló kiutazások'!P102,$I$5:$J$12,2,0),0)),0),"")</f>
        <v/>
      </c>
      <c r="T98" s="15" t="str">
        <f t="shared" si="7"/>
        <v/>
      </c>
      <c r="U98" s="15" t="str">
        <f t="shared" si="8"/>
        <v/>
      </c>
      <c r="V98" s="15" t="str">
        <f>IF('Tanuló kiutazások'!AD102&gt;0,'Tanuló kiutazások'!AD102,0)</f>
        <v/>
      </c>
      <c r="W98" s="15" t="str">
        <f t="shared" si="9"/>
        <v/>
      </c>
      <c r="X98" s="23" t="str">
        <f>IF('Tanuló kiutazások'!B102&lt;&gt;"",'Tanuló kiutazások'!G102*'Tanuló kiutazások'!N102,"")</f>
        <v/>
      </c>
      <c r="Y98" s="23" t="str">
        <f>IF('Tanuló kiutazások'!B102&lt;&gt;"",('Tanuló kiutazások'!L102+'Tanuló kiutazások'!M102)*'Tanuló kiutazások'!K102,"")</f>
        <v/>
      </c>
      <c r="Z98" s="15" t="str">
        <f>IF('Munkatárs kiutazások'!B102&lt;&gt;"",'Munkatárs kiutazások'!G102*'Munkatárs kiutazások'!K102,"")</f>
        <v/>
      </c>
      <c r="AA98" s="15" t="str">
        <f>IF('Munkatárs kiutazások'!B102&lt;&gt;"",'Munkatárs kiutazások'!G102*'Munkatárs kiutazások'!J102,"")</f>
        <v/>
      </c>
    </row>
    <row r="99" spans="14:27" x14ac:dyDescent="0.25">
      <c r="N99" s="15" t="str">
        <f>IF(AND('Tanuló kiutazások'!AD103&lt;&gt;"",'Tanuló kiutazások'!AD103&gt;0),'Tanuló kiutazások'!D103,"")</f>
        <v/>
      </c>
      <c r="O99" s="15" t="str">
        <f>IF('Tanuló kiutazások'!B103&lt;&gt;"",IF('Tanuló kiutazások'!Z103="Jogosult igényelni",IF('Tanuló kiutazások'!AD103&gt;0,'Tanuló kiutazások'!AA103*'Tanuló kiutazások'!AD103*VLOOKUP('Tanuló kiutazások'!C103,Segédlet!$C$5:$G$37,4,0),0),0),"")</f>
        <v/>
      </c>
      <c r="P99" s="15" t="str">
        <f>IF('Tanuló kiutazások'!B103&lt;&gt;"",IF('Tanuló kiutazások'!Z103="Jogosult igényelni",IF('Tanuló kiutazások'!AD103&gt;0,1*'Tanuló kiutazások'!AD103*VLOOKUP('Tanuló kiutazások'!C103,Segédlet!$C$5:$G$37,4,0),0),0),"")</f>
        <v/>
      </c>
      <c r="Q99" s="15" t="str">
        <f>IF('Tanuló kiutazások'!B103&lt;&gt;"",IF(AND('Tanuló kiutazások'!Z103="Jogosult igényelni",'Tanuló kiutazások'!AD103&gt;0),'Tanuló kiutazások'!AA103,0),"")</f>
        <v/>
      </c>
      <c r="R99" s="15" t="str">
        <f>IF('Tanuló kiutazások'!B103&lt;&gt;"",IF(AND('Tanuló kiutazások'!Z103="Jogosult igényelni",'Tanuló kiutazások'!AD103&gt;0),1,0),"")</f>
        <v/>
      </c>
      <c r="S99" s="15" t="str">
        <f>IF('Tanuló kiutazások'!B103&lt;&gt;"",IF('Tanuló kiutazások'!Z103="Jogosult igényelni",IF(AND('Tanuló kiutazások'!AC103&gt;0,'Tanuló kiutazások'!AF103&gt;0),(1+'Tanuló kiutazások'!AA103-'Tanuló kiutazások'!AC103)*VLOOKUP('Tanuló kiutazások'!P103,$I$5:$J$12,2,0),IF('Tanuló kiutazások'!AD103&gt;0,(1+'Tanuló kiutazások'!AA103)*VLOOKUP('Tanuló kiutazások'!P103,$I$5:$J$12,2,0),0)),0),"")</f>
        <v/>
      </c>
      <c r="T99" s="15" t="str">
        <f t="shared" si="7"/>
        <v/>
      </c>
      <c r="U99" s="15" t="str">
        <f t="shared" si="8"/>
        <v/>
      </c>
      <c r="V99" s="15" t="str">
        <f>IF('Tanuló kiutazások'!AD103&gt;0,'Tanuló kiutazások'!AD103,0)</f>
        <v/>
      </c>
      <c r="W99" s="15" t="str">
        <f t="shared" si="9"/>
        <v/>
      </c>
      <c r="X99" s="23" t="str">
        <f>IF('Tanuló kiutazások'!B103&lt;&gt;"",'Tanuló kiutazások'!G103*'Tanuló kiutazások'!N103,"")</f>
        <v/>
      </c>
      <c r="Y99" s="23" t="str">
        <f>IF('Tanuló kiutazások'!B103&lt;&gt;"",('Tanuló kiutazások'!L103+'Tanuló kiutazások'!M103)*'Tanuló kiutazások'!K103,"")</f>
        <v/>
      </c>
      <c r="Z99" s="15" t="str">
        <f>IF('Munkatárs kiutazások'!B103&lt;&gt;"",'Munkatárs kiutazások'!G103*'Munkatárs kiutazások'!K103,"")</f>
        <v/>
      </c>
      <c r="AA99" s="15" t="str">
        <f>IF('Munkatárs kiutazások'!B103&lt;&gt;"",'Munkatárs kiutazások'!G103*'Munkatárs kiutazások'!J103,"")</f>
        <v/>
      </c>
    </row>
    <row r="100" spans="14:27" x14ac:dyDescent="0.25">
      <c r="N100" s="15" t="str">
        <f>IF(AND('Tanuló kiutazások'!AD104&lt;&gt;"",'Tanuló kiutazások'!AD104&gt;0),'Tanuló kiutazások'!D104,"")</f>
        <v/>
      </c>
      <c r="O100" s="15" t="str">
        <f>IF('Tanuló kiutazások'!B104&lt;&gt;"",IF('Tanuló kiutazások'!Z104="Jogosult igényelni",IF('Tanuló kiutazások'!AD104&gt;0,'Tanuló kiutazások'!AA104*'Tanuló kiutazások'!AD104*VLOOKUP('Tanuló kiutazások'!C104,Segédlet!$C$5:$G$37,4,0),0),0),"")</f>
        <v/>
      </c>
      <c r="P100" s="15" t="str">
        <f>IF('Tanuló kiutazások'!B104&lt;&gt;"",IF('Tanuló kiutazások'!Z104="Jogosult igényelni",IF('Tanuló kiutazások'!AD104&gt;0,1*'Tanuló kiutazások'!AD104*VLOOKUP('Tanuló kiutazások'!C104,Segédlet!$C$5:$G$37,4,0),0),0),"")</f>
        <v/>
      </c>
      <c r="Q100" s="15" t="str">
        <f>IF('Tanuló kiutazások'!B104&lt;&gt;"",IF(AND('Tanuló kiutazások'!Z104="Jogosult igényelni",'Tanuló kiutazások'!AD104&gt;0),'Tanuló kiutazások'!AA104,0),"")</f>
        <v/>
      </c>
      <c r="R100" s="15" t="str">
        <f>IF('Tanuló kiutazások'!B104&lt;&gt;"",IF(AND('Tanuló kiutazások'!Z104="Jogosult igényelni",'Tanuló kiutazások'!AD104&gt;0),1,0),"")</f>
        <v/>
      </c>
      <c r="S100" s="15" t="str">
        <f>IF('Tanuló kiutazások'!B104&lt;&gt;"",IF('Tanuló kiutazások'!Z104="Jogosult igényelni",IF(AND('Tanuló kiutazások'!AC104&gt;0,'Tanuló kiutazások'!AF104&gt;0),(1+'Tanuló kiutazások'!AA104-'Tanuló kiutazások'!AC104)*VLOOKUP('Tanuló kiutazások'!P104,$I$5:$J$12,2,0),IF('Tanuló kiutazások'!AD104&gt;0,(1+'Tanuló kiutazások'!AA104)*VLOOKUP('Tanuló kiutazások'!P104,$I$5:$J$12,2,0),0)),0),"")</f>
        <v/>
      </c>
      <c r="T100" s="15" t="str">
        <f t="shared" si="7"/>
        <v/>
      </c>
      <c r="U100" s="15" t="str">
        <f t="shared" si="8"/>
        <v/>
      </c>
      <c r="V100" s="15" t="str">
        <f>IF('Tanuló kiutazások'!AD104&gt;0,'Tanuló kiutazások'!AD104,0)</f>
        <v/>
      </c>
      <c r="W100" s="15" t="str">
        <f t="shared" si="9"/>
        <v/>
      </c>
      <c r="X100" s="23" t="str">
        <f>IF('Tanuló kiutazások'!B104&lt;&gt;"",'Tanuló kiutazások'!G104*'Tanuló kiutazások'!N104,"")</f>
        <v/>
      </c>
      <c r="Y100" s="23" t="str">
        <f>IF('Tanuló kiutazások'!B104&lt;&gt;"",('Tanuló kiutazások'!L104+'Tanuló kiutazások'!M104)*'Tanuló kiutazások'!K104,"")</f>
        <v/>
      </c>
      <c r="Z100" s="15" t="str">
        <f>IF('Munkatárs kiutazások'!B104&lt;&gt;"",'Munkatárs kiutazások'!G104*'Munkatárs kiutazások'!K104,"")</f>
        <v/>
      </c>
      <c r="AA100" s="15" t="str">
        <f>IF('Munkatárs kiutazások'!B104&lt;&gt;"",'Munkatárs kiutazások'!G104*'Munkatárs kiutazások'!J104,"")</f>
        <v/>
      </c>
    </row>
    <row r="101" spans="14:27" x14ac:dyDescent="0.25">
      <c r="N101" s="15" t="str">
        <f>IF(AND('Tanuló kiutazások'!AD105&lt;&gt;"",'Tanuló kiutazások'!AD105&gt;0),'Tanuló kiutazások'!D105,"")</f>
        <v/>
      </c>
      <c r="O101" s="15" t="str">
        <f>IF('Tanuló kiutazások'!B105&lt;&gt;"",IF('Tanuló kiutazások'!Z105="Jogosult igényelni",IF('Tanuló kiutazások'!AD105&gt;0,'Tanuló kiutazások'!AA105*'Tanuló kiutazások'!AD105*VLOOKUP('Tanuló kiutazások'!C105,Segédlet!$C$5:$G$37,4,0),0),0),"")</f>
        <v/>
      </c>
      <c r="P101" s="15" t="str">
        <f>IF('Tanuló kiutazások'!B105&lt;&gt;"",IF('Tanuló kiutazások'!Z105="Jogosult igényelni",IF('Tanuló kiutazások'!AD105&gt;0,1*'Tanuló kiutazások'!AD105*VLOOKUP('Tanuló kiutazások'!C105,Segédlet!$C$5:$G$37,4,0),0),0),"")</f>
        <v/>
      </c>
      <c r="Q101" s="15" t="str">
        <f>IF('Tanuló kiutazások'!B105&lt;&gt;"",IF(AND('Tanuló kiutazások'!Z105="Jogosult igényelni",'Tanuló kiutazások'!AD105&gt;0),'Tanuló kiutazások'!AA105,0),"")</f>
        <v/>
      </c>
      <c r="R101" s="15" t="str">
        <f>IF('Tanuló kiutazások'!B105&lt;&gt;"",IF(AND('Tanuló kiutazások'!Z105="Jogosult igényelni",'Tanuló kiutazások'!AD105&gt;0),1,0),"")</f>
        <v/>
      </c>
      <c r="S101" s="15" t="str">
        <f>IF('Tanuló kiutazások'!B105&lt;&gt;"",IF('Tanuló kiutazások'!Z105="Jogosult igényelni",IF(AND('Tanuló kiutazások'!AC105&gt;0,'Tanuló kiutazások'!AF105&gt;0),(1+'Tanuló kiutazások'!AA105-'Tanuló kiutazások'!AC105)*VLOOKUP('Tanuló kiutazások'!P105,$I$5:$J$12,2,0),IF('Tanuló kiutazások'!AD105&gt;0,(1+'Tanuló kiutazások'!AA105)*VLOOKUP('Tanuló kiutazások'!P105,$I$5:$J$12,2,0),0)),0),"")</f>
        <v/>
      </c>
      <c r="T101" s="15" t="str">
        <f t="shared" si="7"/>
        <v/>
      </c>
      <c r="U101" s="15" t="str">
        <f t="shared" si="8"/>
        <v/>
      </c>
      <c r="V101" s="15" t="str">
        <f>IF('Tanuló kiutazások'!AD105&gt;0,'Tanuló kiutazások'!AD105,0)</f>
        <v/>
      </c>
      <c r="W101" s="15" t="str">
        <f t="shared" si="9"/>
        <v/>
      </c>
      <c r="X101" s="23" t="str">
        <f>IF('Tanuló kiutazások'!B105&lt;&gt;"",'Tanuló kiutazások'!G105*'Tanuló kiutazások'!N105,"")</f>
        <v/>
      </c>
      <c r="Y101" s="23" t="str">
        <f>IF('Tanuló kiutazások'!B105&lt;&gt;"",('Tanuló kiutazások'!L105+'Tanuló kiutazások'!M105)*'Tanuló kiutazások'!K105,"")</f>
        <v/>
      </c>
      <c r="Z101" s="15" t="str">
        <f>IF('Munkatárs kiutazások'!B105&lt;&gt;"",'Munkatárs kiutazások'!G105*'Munkatárs kiutazások'!K105,"")</f>
        <v/>
      </c>
      <c r="AA101" s="15" t="str">
        <f>IF('Munkatárs kiutazások'!B105&lt;&gt;"",'Munkatárs kiutazások'!G105*'Munkatárs kiutazások'!J105,"")</f>
        <v/>
      </c>
    </row>
    <row r="102" spans="14:27" x14ac:dyDescent="0.25">
      <c r="N102" s="15" t="str">
        <f>IF(AND('Tanuló kiutazások'!AD106&lt;&gt;"",'Tanuló kiutazások'!AD106&gt;0),'Tanuló kiutazások'!D106,"")</f>
        <v/>
      </c>
      <c r="O102" s="15" t="str">
        <f>IF('Tanuló kiutazások'!B106&lt;&gt;"",IF('Tanuló kiutazások'!Z106="Jogosult igényelni",IF('Tanuló kiutazások'!AD106&gt;0,'Tanuló kiutazások'!AA106*'Tanuló kiutazások'!AD106*VLOOKUP('Tanuló kiutazások'!C106,Segédlet!$C$5:$G$37,4,0),0),0),"")</f>
        <v/>
      </c>
      <c r="P102" s="15" t="str">
        <f>IF('Tanuló kiutazások'!B106&lt;&gt;"",IF('Tanuló kiutazások'!Z106="Jogosult igényelni",IF('Tanuló kiutazások'!AD106&gt;0,1*'Tanuló kiutazások'!AD106*VLOOKUP('Tanuló kiutazások'!C106,Segédlet!$C$5:$G$37,4,0),0),0),"")</f>
        <v/>
      </c>
      <c r="Q102" s="15" t="str">
        <f>IF('Tanuló kiutazások'!B106&lt;&gt;"",IF(AND('Tanuló kiutazások'!Z106="Jogosult igényelni",'Tanuló kiutazások'!AD106&gt;0),'Tanuló kiutazások'!AA106,0),"")</f>
        <v/>
      </c>
      <c r="R102" s="15" t="str">
        <f>IF('Tanuló kiutazások'!B106&lt;&gt;"",IF(AND('Tanuló kiutazások'!Z106="Jogosult igényelni",'Tanuló kiutazások'!AD106&gt;0),1,0),"")</f>
        <v/>
      </c>
      <c r="S102" s="15" t="str">
        <f>IF('Tanuló kiutazások'!B106&lt;&gt;"",IF('Tanuló kiutazások'!Z106="Jogosult igényelni",IF(AND('Tanuló kiutazások'!AC106&gt;0,'Tanuló kiutazások'!AF106&gt;0),(1+'Tanuló kiutazások'!AA106-'Tanuló kiutazások'!AC106)*VLOOKUP('Tanuló kiutazások'!P106,$I$5:$J$12,2,0),IF('Tanuló kiutazások'!AD106&gt;0,(1+'Tanuló kiutazások'!AA106)*VLOOKUP('Tanuló kiutazások'!P106,$I$5:$J$12,2,0),0)),0),"")</f>
        <v/>
      </c>
      <c r="T102" s="15" t="str">
        <f t="shared" si="7"/>
        <v/>
      </c>
      <c r="U102" s="15" t="str">
        <f t="shared" si="8"/>
        <v/>
      </c>
      <c r="V102" s="15" t="str">
        <f>IF('Tanuló kiutazások'!AD106&gt;0,'Tanuló kiutazások'!AD106,0)</f>
        <v/>
      </c>
      <c r="W102" s="15" t="str">
        <f t="shared" si="9"/>
        <v/>
      </c>
      <c r="X102" s="23" t="str">
        <f>IF('Tanuló kiutazások'!B106&lt;&gt;"",'Tanuló kiutazások'!G106*'Tanuló kiutazások'!N106,"")</f>
        <v/>
      </c>
      <c r="Y102" s="23" t="str">
        <f>IF('Tanuló kiutazások'!B106&lt;&gt;"",('Tanuló kiutazások'!L106+'Tanuló kiutazások'!M106)*'Tanuló kiutazások'!K106,"")</f>
        <v/>
      </c>
      <c r="Z102" s="15" t="str">
        <f>IF('Munkatárs kiutazások'!B106&lt;&gt;"",'Munkatárs kiutazások'!G106*'Munkatárs kiutazások'!K106,"")</f>
        <v/>
      </c>
      <c r="AA102" s="15" t="str">
        <f>IF('Munkatárs kiutazások'!B106&lt;&gt;"",'Munkatárs kiutazások'!G106*'Munkatárs kiutazások'!J106,"")</f>
        <v/>
      </c>
    </row>
  </sheetData>
  <sheetProtection algorithmName="SHA-512" hashValue="magub46TQzqppM8ooB4+VJ3Pf2eU2p/deZur9KbO40wDMEpTXy5T9PgCC2gGngGJmTde8lf8yVCUnTOyIrvl3Q==" saltValue="Ud5zNtFu7k9p0GwE4ImdOg==" spinCount="100000" sheet="1" objects="1" scenarios="1"/>
  <mergeCells count="5">
    <mergeCell ref="C3:C4"/>
    <mergeCell ref="F3:G3"/>
    <mergeCell ref="B3:B4"/>
    <mergeCell ref="D3:E3"/>
    <mergeCell ref="B2: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1</vt:i4>
      </vt:variant>
    </vt:vector>
  </HeadingPairs>
  <TitlesOfParts>
    <vt:vector size="5" baseType="lpstr">
      <vt:lpstr>Tanuló kiutazások</vt:lpstr>
      <vt:lpstr>Munkatárs kiutazások</vt:lpstr>
      <vt:lpstr>Projekt költségvetése</vt:lpstr>
      <vt:lpstr>Segédlet</vt:lpstr>
      <vt:lpstr>'Tanuló kiutazások'!Nyomtatási_terület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Pribil-Kövesdy Döníz</dc:creator>
  <cp:lastModifiedBy>Pribil-Kövesdy Döníz</cp:lastModifiedBy>
  <cp:lastPrinted>2018-12-16T02:39:03Z</cp:lastPrinted>
  <dcterms:created xsi:type="dcterms:W3CDTF">2015-04-08T10:10:14Z</dcterms:created>
  <dcterms:modified xsi:type="dcterms:W3CDTF">2019-01-30T08:48:37Z</dcterms:modified>
</cp:coreProperties>
</file>